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kYk/LH9eELYXIeTpKwdvbTofyT8qIUD+jSG1zdGJl2rhajbi7E+U/ybW3Q3PSYvsGEWE5DxBbsr1P/sM1j/0A==" workbookSaltValue="iegT3LB1BmLW9dJYRdDV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L17" i="2" s="1"/>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M23" i="2"/>
  <c r="F30" i="17"/>
  <c r="F26" i="17"/>
  <c r="F14" i="7"/>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J17" i="11"/>
  <c r="BK10" i="11"/>
  <c r="BK22" i="11"/>
  <c r="BI21" i="11"/>
  <c r="BL17" i="11"/>
  <c r="T14" i="20"/>
  <c r="BH22" i="11"/>
  <c r="BB26" i="13"/>
  <c r="BF16" i="8"/>
  <c r="BD9" i="8"/>
  <c r="X12" i="17"/>
  <c r="L10" i="2"/>
  <c r="L22" i="2"/>
  <c r="L28" i="2"/>
  <c r="X22" i="16"/>
  <c r="X21" i="20"/>
  <c r="S16" i="17"/>
  <c r="AH14" i="16"/>
  <c r="S17" i="17"/>
  <c r="L16" i="2"/>
  <c r="L12" i="2"/>
  <c r="X19" i="16"/>
  <c r="L18" i="2"/>
  <c r="X10" i="21"/>
  <c r="AO14" i="21"/>
  <c r="L20" i="2"/>
  <c r="X16" i="16"/>
  <c r="X23" i="16" s="1"/>
  <c r="U9" i="17"/>
  <c r="U31" i="17" s="1"/>
  <c r="AA11" i="16"/>
  <c r="V10" i="16"/>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L17" i="14"/>
  <c r="F28" i="2"/>
  <c r="F25" i="2"/>
  <c r="AL21" i="11"/>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<sst xmlns="http://schemas.openxmlformats.org/spreadsheetml/2006/main" count="2682" uniqueCount="1193">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</sst>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ISP6p3h56szYLbeuoOwha7gT96axFmR1IVFX69KK1wWsleh9fuXXOJs5xN39Vj48LclE5zPEUBSrPYnKON1xg==" saltValue="cykx3WrS2c8isOq82sD2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52</v>
      </c>
      <c r="D10" s="239">
        <f>IF(ISNUMBER(Datos!I10),Datos!I10," - ")</f>
        <v>52</v>
      </c>
      <c r="E10" s="240">
        <f>IF(ISNUMBER(Datos!J10),Datos!J10," - ")</f>
        <v>2</v>
      </c>
      <c r="F10" s="240">
        <f>IF(ISNUMBER(Datos!K10),Datos!K10," - ")</f>
        <v>5</v>
      </c>
      <c r="G10" s="1390" t="str">
        <f>IF(Datos!E10&lt;&gt;"",Datos!E10,Datos!D10)</f>
        <v>37</v>
      </c>
      <c r="H10" s="241">
        <f>IF(ISNUMBER(Datos!L10),Datos!L10," - ")</f>
        <v>49</v>
      </c>
      <c r="I10" s="1400" t="str">
        <f>IF(ISNUMBER(Datos!AS10/Datos!BM10),Datos!AS10/Datos!BM10," - ")</f>
        <v xml:space="preserve"> - </v>
      </c>
      <c r="J10" s="1401">
        <f>IF(ISNUMBER(Datos!BY10/Datos!CN10),Datos!BY10/Datos!CN10," - ")</f>
        <v>0</v>
      </c>
      <c r="K10" s="244">
        <f t="shared" ref="K10:K13" si="1">IF(ISNUMBER((E10-F10)/C10),(E10-F10)/C10," - ")</f>
        <v>-5.7692307692307696E-2</v>
      </c>
      <c r="L10" s="1402">
        <f>IF(ISNUMBER(NºAsuntos!I10/NºAsuntos!G10),(NºAsuntos!I10/NºAsuntos!G10)*11," - ")</f>
        <v>107.80000000000001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49.038167938931302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1164</v>
      </c>
      <c r="D17" s="239">
        <f>IF(ISNUMBER(IF(D_I="SI",Datos!I17,Datos!I17+Datos!AC17)),IF(D_I="SI",Datos!I17,Datos!I17+Datos!AC17)," - ")</f>
        <v>1162</v>
      </c>
      <c r="E17" s="240">
        <f>IF(ISNUMBER(IF(D_I="SI",Datos!J17,Datos!J17+Datos!AD17)),IF(D_I="SI",Datos!J17,Datos!J17+Datos!AD17)," - ")</f>
        <v>736</v>
      </c>
      <c r="F17" s="240">
        <f>IF(ISNUMBER(IF(D_I="SI",Datos!K17,Datos!K17+Datos!AE17)),IF(D_I="SI",Datos!K17,Datos!K17+Datos!AE17)," - ")</f>
        <v>791</v>
      </c>
      <c r="G17" s="1390" t="str">
        <f>IF(Datos!E17&lt;&gt;"",Datos!E17,Datos!D17)</f>
        <v>04</v>
      </c>
      <c r="H17" s="241">
        <f>IF(ISNUMBER(IF(D_I="SI",Datos!L17,Datos!L17+Datos!AF17)),IF(D_I="SI",Datos!L17,Datos!L17+Datos!AF17)," - ")</f>
        <v>1109</v>
      </c>
      <c r="I17" s="1400" t="str">
        <f>IF(ISNUMBER(Datos!AS17/Datos!BM17),Datos!AS17/Datos!BM17," - ")</f>
        <v xml:space="preserve"> - </v>
      </c>
      <c r="J17" s="1401">
        <f>IF(ISNUMBER(Datos!BY17/Datos!CN17),Datos!BY17/Datos!CN17," - ")</f>
        <v>0</v>
      </c>
      <c r="K17" s="244">
        <f t="shared" si="3"/>
        <v>-4.7250859106529208E-2</v>
      </c>
      <c r="L17" s="1402">
        <f>IF(ISNUMBER(NºAsuntos!I17/NºAsuntos!G17),(NºAsuntos!I17/NºAsuntos!G17)*11," - ")</f>
        <v>15.422250316055626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207</v>
      </c>
      <c r="D18" s="239">
        <f>IF(ISNUMBER(IF(D_I="SI",Datos!I18,Datos!I18+Datos!AC18)),IF(D_I="SI",Datos!I18,Datos!I18+Datos!AC18)," - ")</f>
        <v>205</v>
      </c>
      <c r="E18" s="240">
        <f>IF(ISNUMBER(IF(D_I="SI",Datos!J18,Datos!J18+Datos!AD18)),IF(D_I="SI",Datos!J18,Datos!J18+Datos!AD18)," - ")</f>
        <v>110</v>
      </c>
      <c r="F18" s="240">
        <f>IF(ISNUMBER(IF(D_I="SI",Datos!K18,Datos!K18+Datos!AE18)),IF(D_I="SI",Datos!K18,Datos!K18+Datos!AE18)," - ")</f>
        <v>79</v>
      </c>
      <c r="G18" s="1390" t="str">
        <f>IF(Datos!E18&lt;&gt;"",Datos!E18,Datos!D18)</f>
        <v>37</v>
      </c>
      <c r="H18" s="241">
        <f>IF(ISNUMBER(IF(D_I="SI",Datos!L18,Datos!L18+Datos!AF18)),IF(D_I="SI",Datos!L18,Datos!L18+Datos!AF18)," - ")</f>
        <v>238</v>
      </c>
      <c r="I18" s="1400" t="str">
        <f>IF(ISNUMBER(Datos!AS18/Datos!BM18),Datos!AS18/Datos!BM18," - ")</f>
        <v xml:space="preserve"> - </v>
      </c>
      <c r="J18" s="1401" t="str">
        <f>IF(ISNUMBER((Datos!BY18+Datos!BZ18)/Datos!CN18),(Datos!BY18+Datos!BZ18)/Datos!CN18," - ")</f>
        <v xml:space="preserve"> - </v>
      </c>
      <c r="K18" s="244">
        <f t="shared" si="3"/>
        <v>0.14975845410628019</v>
      </c>
      <c r="L18" s="1402">
        <f>IF(ISNUMBER(NºAsuntos!I18/NºAsuntos!G18),(NºAsuntos!I18/NºAsuntos!G18)*11," - ")</f>
        <v>33.139240506329116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1371</v>
      </c>
      <c r="D23" s="1407">
        <f>SUBTOTAL(9,D16:D22)</f>
        <v>1367</v>
      </c>
      <c r="E23" s="1408">
        <f>SUBTOTAL(9,E16:E22)</f>
        <v>846</v>
      </c>
      <c r="F23" s="1408">
        <f>SUBTOTAL(9,F16:F22)</f>
        <v>870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1423</v>
      </c>
      <c r="D31" s="1435">
        <f>SUBTOTAL(9,D9:D30)</f>
        <v>1419</v>
      </c>
      <c r="E31" s="1436">
        <f>SUBTOTAL(9,E9:E30)</f>
        <v>848</v>
      </c>
      <c r="F31" s="1436">
        <f>SUBTOTAL(9,F9:F30)</f>
        <v>875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hJ7Xm28gcPtyFQaAw5jxXg4Cl/PKVXJCsDOpjGsVPGLZdXzsozHhrntO2iMIUMLPJUe7u0u2JJWSMdjFMtylw==" saltValue="QxpQyjSDrL/s6CDqIiju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jjEi4vBo9fi5m+7iE6M+e5PK/3J8As5CAGKncTjFmKSV2PnxOJkfnLjWFsQ532bAc2ZBkly/xEFGZDmaSWP9Q==" saltValue="OWSIGbsz38MboYmUZFg3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2</v>
      </c>
      <c r="K10" s="194">
        <v>5</v>
      </c>
      <c r="L10" s="194">
        <v>49</v>
      </c>
      <c r="M10" s="194">
        <v>1</v>
      </c>
      <c r="N10" s="194">
        <v>4</v>
      </c>
      <c r="O10" s="194">
        <v>0</v>
      </c>
      <c r="P10" s="194">
        <v>0</v>
      </c>
      <c r="Q10" s="194">
        <v>0</v>
      </c>
      <c r="R10" s="194">
        <v>1</v>
      </c>
      <c r="S10" s="194">
        <v>50</v>
      </c>
      <c r="T10" s="194">
        <v>5</v>
      </c>
      <c r="U10" s="194">
        <v>6</v>
      </c>
      <c r="V10" s="194">
        <v>49</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5</v>
      </c>
      <c r="BA10" s="139">
        <f t="shared" si="0"/>
        <v>6</v>
      </c>
      <c r="BB10" s="139">
        <f t="shared" si="0"/>
        <v>49</v>
      </c>
      <c r="BC10" s="135">
        <f t="shared" si="0"/>
        <v>6</v>
      </c>
      <c r="BD10" s="136">
        <f>IF(ISNUMBER(BA10/AZ10),BA10/AZ10," - ")</f>
        <v>1.2</v>
      </c>
      <c r="BE10" s="137">
        <f>IF(ISNUMBER(BB10/BA10),BB10/BA10, " - ")</f>
        <v>8.1666666666666661</v>
      </c>
      <c r="BF10" s="137">
        <f>IF(ISNUMBER(BC10/BA10),BC10/BA10, " - ")</f>
        <v>1</v>
      </c>
      <c r="BG10" s="209">
        <f>IF(ISNUMBER((AY10+AZ10)/BA10),(AY10+AZ10)/BA10," - ")</f>
        <v>9.1666666666666661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3873</v>
      </c>
      <c r="J12" s="196">
        <v>909</v>
      </c>
      <c r="K12" s="196">
        <v>762</v>
      </c>
      <c r="L12" s="196">
        <v>3979</v>
      </c>
      <c r="M12" s="196">
        <v>197</v>
      </c>
      <c r="N12" s="196">
        <v>345</v>
      </c>
      <c r="O12" s="194">
        <v>315</v>
      </c>
      <c r="P12" s="196">
        <v>231</v>
      </c>
      <c r="Q12" s="196">
        <v>169</v>
      </c>
      <c r="R12" s="196">
        <v>6024</v>
      </c>
      <c r="S12" s="196">
        <v>3391</v>
      </c>
      <c r="T12" s="196">
        <v>805</v>
      </c>
      <c r="U12" s="196">
        <v>551</v>
      </c>
      <c r="V12" s="196">
        <v>3476</v>
      </c>
      <c r="W12" s="196">
        <v>178</v>
      </c>
      <c r="X12" s="202">
        <v>279</v>
      </c>
      <c r="Y12" s="204">
        <v>141</v>
      </c>
      <c r="Z12" s="194">
        <v>123</v>
      </c>
      <c r="AA12" s="194">
        <v>155</v>
      </c>
      <c r="AB12" s="194">
        <v>109</v>
      </c>
      <c r="AC12" s="196">
        <v>0</v>
      </c>
      <c r="AD12" s="196">
        <v>0</v>
      </c>
      <c r="AE12" s="196">
        <v>0</v>
      </c>
      <c r="AF12" s="202">
        <v>0</v>
      </c>
      <c r="AG12" s="215">
        <v>109</v>
      </c>
      <c r="AH12" s="196">
        <v>126</v>
      </c>
      <c r="AI12" s="196">
        <v>86</v>
      </c>
      <c r="AJ12" s="216">
        <v>149</v>
      </c>
      <c r="AK12" s="195">
        <v>0</v>
      </c>
      <c r="AL12" s="196">
        <v>0</v>
      </c>
      <c r="AM12" s="196">
        <v>0</v>
      </c>
      <c r="AN12" s="202">
        <v>0</v>
      </c>
      <c r="AO12" s="283">
        <v>4</v>
      </c>
      <c r="AP12" s="168">
        <v>4</v>
      </c>
      <c r="AQ12" s="168">
        <v>4</v>
      </c>
      <c r="AR12" s="167">
        <v>4</v>
      </c>
      <c r="AS12" s="381" t="s">
        <v>1075</v>
      </c>
      <c r="AT12" s="216"/>
      <c r="AU12" s="215"/>
      <c r="AV12" s="216"/>
      <c r="AW12" s="215"/>
      <c r="AX12" s="216"/>
      <c r="AY12" s="136">
        <f t="shared" si="1"/>
        <v>3500</v>
      </c>
      <c r="AZ12" s="137">
        <f t="shared" si="1"/>
        <v>931</v>
      </c>
      <c r="BA12" s="137">
        <f t="shared" si="1"/>
        <v>637</v>
      </c>
      <c r="BB12" s="137">
        <f t="shared" si="1"/>
        <v>3625</v>
      </c>
      <c r="BC12" s="135">
        <f>IF(ISNUMBER(X12),X12," - ")</f>
        <v>279</v>
      </c>
      <c r="BD12" s="136">
        <f t="shared" si="2"/>
        <v>0.68421052631578949</v>
      </c>
      <c r="BE12" s="137">
        <f t="shared" si="3"/>
        <v>5.6907378335949765</v>
      </c>
      <c r="BF12" s="137">
        <f t="shared" si="4"/>
        <v>0.43799058084772369</v>
      </c>
      <c r="BG12" s="209">
        <f t="shared" si="5"/>
        <v>6.9560439560439562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3925</v>
      </c>
      <c r="J14" s="197">
        <f t="shared" si="7"/>
        <v>911</v>
      </c>
      <c r="K14" s="197">
        <f t="shared" si="7"/>
        <v>767</v>
      </c>
      <c r="L14" s="197">
        <f t="shared" si="7"/>
        <v>4028</v>
      </c>
      <c r="M14" s="197">
        <f t="shared" si="7"/>
        <v>198</v>
      </c>
      <c r="N14" s="197">
        <f t="shared" si="7"/>
        <v>349</v>
      </c>
      <c r="O14" s="197">
        <f t="shared" si="7"/>
        <v>315</v>
      </c>
      <c r="P14" s="197">
        <f t="shared" si="7"/>
        <v>231</v>
      </c>
      <c r="Q14" s="197">
        <f t="shared" si="7"/>
        <v>169</v>
      </c>
      <c r="R14" s="197">
        <f t="shared" si="7"/>
        <v>6025</v>
      </c>
      <c r="S14" s="197">
        <f t="shared" si="7"/>
        <v>3441</v>
      </c>
      <c r="T14" s="197">
        <f t="shared" si="7"/>
        <v>810</v>
      </c>
      <c r="U14" s="197">
        <f t="shared" si="7"/>
        <v>557</v>
      </c>
      <c r="V14" s="197">
        <f t="shared" si="7"/>
        <v>3525</v>
      </c>
      <c r="W14" s="197">
        <f t="shared" si="7"/>
        <v>184</v>
      </c>
      <c r="X14" s="197">
        <f t="shared" si="7"/>
        <v>279</v>
      </c>
      <c r="Y14" s="197">
        <f t="shared" si="7"/>
        <v>141</v>
      </c>
      <c r="Z14" s="197">
        <f t="shared" si="7"/>
        <v>123</v>
      </c>
      <c r="AA14" s="197">
        <f t="shared" si="7"/>
        <v>155</v>
      </c>
      <c r="AB14" s="197">
        <f t="shared" si="7"/>
        <v>109</v>
      </c>
      <c r="AC14" s="197">
        <f t="shared" si="7"/>
        <v>0</v>
      </c>
      <c r="AD14" s="197">
        <f t="shared" si="7"/>
        <v>0</v>
      </c>
      <c r="AE14" s="197">
        <f t="shared" si="7"/>
        <v>0</v>
      </c>
      <c r="AF14" s="197">
        <f>SUBTOTAL(9,AF9:AF13)</f>
        <v>0</v>
      </c>
      <c r="AG14" s="197">
        <f t="shared" ref="AG14:AT14" si="8">SUBTOTAL(9,AG8:AG13)</f>
        <v>109</v>
      </c>
      <c r="AH14" s="197">
        <f t="shared" si="8"/>
        <v>126</v>
      </c>
      <c r="AI14" s="197">
        <f t="shared" si="8"/>
        <v>86</v>
      </c>
      <c r="AJ14" s="197">
        <f t="shared" si="8"/>
        <v>149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3550</v>
      </c>
      <c r="AZ14" s="197">
        <f>SUBTOTAL(9,AZ8:AZ13)</f>
        <v>936</v>
      </c>
      <c r="BA14" s="197">
        <f>SUBTOTAL(9,BA8:BA13)</f>
        <v>643</v>
      </c>
      <c r="BB14" s="197">
        <f>SUBTOTAL(9,BB8:BB13)</f>
        <v>3674</v>
      </c>
      <c r="BC14" s="197">
        <f>SUBTOTAL(9,BC8:BC13)</f>
        <v>285</v>
      </c>
      <c r="BD14" s="219">
        <f>IF(ISNUMBER(BA14/AZ14),BA14/AZ14," - ")</f>
        <v>0.68696581196581197</v>
      </c>
      <c r="BE14" s="220">
        <f>IF(ISNUMBER(BB14/BA14),BB14/BA14, " - ")</f>
        <v>5.7138413685847587</v>
      </c>
      <c r="BF14" s="220">
        <f>IF(ISNUMBER(BC14/BA14),BC14/BA14, " - ")</f>
        <v>0.44323483670295488</v>
      </c>
      <c r="BG14" s="221">
        <f>IF(ISNUMBER((AY14+AZ14)/BA14),(AY14+AZ14)/BA14," - ")</f>
        <v>6.9766718506998444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1162</v>
      </c>
      <c r="J17" s="196">
        <v>736</v>
      </c>
      <c r="K17" s="196">
        <v>791</v>
      </c>
      <c r="L17" s="196">
        <v>1109</v>
      </c>
      <c r="M17" s="196">
        <v>94</v>
      </c>
      <c r="N17" s="196">
        <v>503</v>
      </c>
      <c r="O17" s="194">
        <v>23</v>
      </c>
      <c r="P17" s="196">
        <v>51</v>
      </c>
      <c r="Q17" s="196">
        <v>24</v>
      </c>
      <c r="R17" s="196">
        <v>199</v>
      </c>
      <c r="S17" s="196">
        <v>1367</v>
      </c>
      <c r="T17" s="196">
        <v>537</v>
      </c>
      <c r="U17" s="196">
        <v>548</v>
      </c>
      <c r="V17" s="196">
        <v>1358</v>
      </c>
      <c r="W17" s="196">
        <v>125</v>
      </c>
      <c r="X17" s="202">
        <v>303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1367</v>
      </c>
      <c r="AZ17" s="137">
        <f t="shared" si="10"/>
        <v>537</v>
      </c>
      <c r="BA17" s="137">
        <f t="shared" si="10"/>
        <v>548</v>
      </c>
      <c r="BB17" s="137">
        <f t="shared" si="10"/>
        <v>1358</v>
      </c>
      <c r="BC17" s="135">
        <f>IF(ISNUMBER(W17),W17," - ")</f>
        <v>125</v>
      </c>
      <c r="BD17" s="136">
        <f t="shared" ref="BD17:BD22" si="12">IF(ISNUMBER(BA17/AZ17),BA17/AZ17," - ")</f>
        <v>1.0204841713221602</v>
      </c>
      <c r="BE17" s="137">
        <f t="shared" ref="BE17:BE22" si="13">IF(ISNUMBER(BB17/BA17),BB17/BA17, " - ")</f>
        <v>2.4781021897810218</v>
      </c>
      <c r="BF17" s="137">
        <f t="shared" ref="BF17:BF22" si="14">IF(ISNUMBER(BC17/BA17),BC17/BA17, " - ")</f>
        <v>0.2281021897810219</v>
      </c>
      <c r="BG17" s="209">
        <f t="shared" si="11"/>
        <v>3.4744525547445257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205</v>
      </c>
      <c r="J18" s="196">
        <v>110</v>
      </c>
      <c r="K18" s="196">
        <v>79</v>
      </c>
      <c r="L18" s="196">
        <v>238</v>
      </c>
      <c r="M18" s="196">
        <v>10</v>
      </c>
      <c r="N18" s="196">
        <v>49</v>
      </c>
      <c r="O18" s="196">
        <v>0</v>
      </c>
      <c r="P18" s="196">
        <v>0</v>
      </c>
      <c r="Q18" s="196">
        <v>0</v>
      </c>
      <c r="R18" s="196">
        <v>0</v>
      </c>
      <c r="S18" s="196">
        <v>98</v>
      </c>
      <c r="T18" s="196">
        <v>104</v>
      </c>
      <c r="U18" s="196">
        <v>100</v>
      </c>
      <c r="V18" s="196">
        <v>103</v>
      </c>
      <c r="W18" s="196">
        <v>13</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104</v>
      </c>
      <c r="BA18" s="139">
        <f t="shared" si="15"/>
        <v>100</v>
      </c>
      <c r="BB18" s="139">
        <f t="shared" si="15"/>
        <v>103</v>
      </c>
      <c r="BC18" s="135">
        <f>IF(ISNUMBER(W18),W18," - ")</f>
        <v>13</v>
      </c>
      <c r="BD18" s="136">
        <f>IF(ISNUMBER(BA18/AZ18),BA18/AZ18," - ")</f>
        <v>0.96153846153846156</v>
      </c>
      <c r="BE18" s="137">
        <f>IF(ISNUMBER(BB18/BA18),BB18/BA18, " - ")</f>
        <v>1.03</v>
      </c>
      <c r="BF18" s="137">
        <f>IF(ISNUMBER(BC18/BA18),BC18/BA18, " - ")</f>
        <v>0.13</v>
      </c>
      <c r="BG18" s="209">
        <f>IF(ISNUMBER((AY18+AZ18)/BA18),(AY18+AZ18)/BA18," - ")</f>
        <v>2.02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1367</v>
      </c>
      <c r="J23" s="197">
        <f t="shared" si="21"/>
        <v>846</v>
      </c>
      <c r="K23" s="197">
        <f t="shared" si="21"/>
        <v>870</v>
      </c>
      <c r="L23" s="197">
        <f t="shared" si="21"/>
        <v>1347</v>
      </c>
      <c r="M23" s="197">
        <f t="shared" si="21"/>
        <v>104</v>
      </c>
      <c r="N23" s="197">
        <f t="shared" si="21"/>
        <v>552</v>
      </c>
      <c r="O23" s="197">
        <f t="shared" si="21"/>
        <v>23</v>
      </c>
      <c r="P23" s="197">
        <f t="shared" si="21"/>
        <v>51</v>
      </c>
      <c r="Q23" s="197">
        <f t="shared" si="21"/>
        <v>24</v>
      </c>
      <c r="R23" s="197">
        <f t="shared" si="21"/>
        <v>199</v>
      </c>
      <c r="S23" s="197">
        <f t="shared" si="21"/>
        <v>1465</v>
      </c>
      <c r="T23" s="197">
        <f t="shared" si="21"/>
        <v>641</v>
      </c>
      <c r="U23" s="197">
        <f t="shared" si="21"/>
        <v>648</v>
      </c>
      <c r="V23" s="197">
        <f t="shared" si="21"/>
        <v>1461</v>
      </c>
      <c r="W23" s="197">
        <f t="shared" si="21"/>
        <v>138</v>
      </c>
      <c r="X23" s="197">
        <f t="shared" si="21"/>
        <v>354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1465</v>
      </c>
      <c r="AZ23" s="197">
        <f>SUBTOTAL(9,AZ15:AZ22)</f>
        <v>641</v>
      </c>
      <c r="BA23" s="197">
        <f>SUBTOTAL(9,BA15:BA22)</f>
        <v>648</v>
      </c>
      <c r="BB23" s="197">
        <f>SUBTOTAL(9,BB15:BB22)</f>
        <v>1461</v>
      </c>
      <c r="BC23" s="197">
        <f>SUBTOTAL(9,BC15:BC22)</f>
        <v>138</v>
      </c>
      <c r="BD23" s="219">
        <f>IF(ISNUMBER(BA23/AZ23),BA23/AZ23," - ")</f>
        <v>1.0109204368174727</v>
      </c>
      <c r="BE23" s="220">
        <f>IF(ISNUMBER(BB23/BA23),BB23/BA23, " - ")</f>
        <v>2.2546296296296298</v>
      </c>
      <c r="BF23" s="220">
        <f>IF(ISNUMBER(BC23/BA23),BC23/BA23, " - ")</f>
        <v>0.21296296296296297</v>
      </c>
      <c r="BG23" s="221">
        <f>IF(ISNUMBER((AY23+AZ23)/BA23),(AY23+AZ23)/BA23," - ")</f>
        <v>3.25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5292</v>
      </c>
      <c r="J31" s="144">
        <f t="shared" si="36"/>
        <v>1757</v>
      </c>
      <c r="K31" s="144">
        <f t="shared" si="36"/>
        <v>1637</v>
      </c>
      <c r="L31" s="144">
        <f t="shared" si="36"/>
        <v>5375</v>
      </c>
      <c r="M31" s="144">
        <f t="shared" si="36"/>
        <v>302</v>
      </c>
      <c r="N31" s="144">
        <f t="shared" si="36"/>
        <v>901</v>
      </c>
      <c r="O31" s="144">
        <f t="shared" si="36"/>
        <v>338</v>
      </c>
      <c r="P31" s="144">
        <f t="shared" si="36"/>
        <v>282</v>
      </c>
      <c r="Q31" s="144">
        <f t="shared" si="36"/>
        <v>193</v>
      </c>
      <c r="R31" s="144">
        <f t="shared" si="36"/>
        <v>6224</v>
      </c>
      <c r="S31" s="144">
        <f t="shared" si="36"/>
        <v>4906</v>
      </c>
      <c r="T31" s="144">
        <f t="shared" si="36"/>
        <v>1451</v>
      </c>
      <c r="U31" s="144">
        <f t="shared" si="36"/>
        <v>1205</v>
      </c>
      <c r="V31" s="144">
        <f t="shared" si="36"/>
        <v>4986</v>
      </c>
      <c r="W31" s="144">
        <f t="shared" si="36"/>
        <v>322</v>
      </c>
      <c r="X31" s="144">
        <f t="shared" si="36"/>
        <v>633</v>
      </c>
      <c r="Y31" s="144">
        <f t="shared" si="36"/>
        <v>141</v>
      </c>
      <c r="Z31" s="144">
        <f t="shared" si="36"/>
        <v>123</v>
      </c>
      <c r="AA31" s="144">
        <f t="shared" si="36"/>
        <v>155</v>
      </c>
      <c r="AB31" s="144">
        <f t="shared" si="36"/>
        <v>109</v>
      </c>
      <c r="AC31" s="144">
        <f t="shared" si="36"/>
        <v>0</v>
      </c>
      <c r="AD31" s="144">
        <f t="shared" si="36"/>
        <v>0</v>
      </c>
      <c r="AE31" s="144">
        <f t="shared" si="36"/>
        <v>0</v>
      </c>
      <c r="AF31" s="144">
        <f t="shared" si="36"/>
        <v>0</v>
      </c>
      <c r="AG31" s="144">
        <f t="shared" si="36"/>
        <v>109</v>
      </c>
      <c r="AH31" s="144">
        <f t="shared" si="36"/>
        <v>126</v>
      </c>
      <c r="AI31" s="144">
        <f t="shared" si="36"/>
        <v>86</v>
      </c>
      <c r="AJ31" s="144">
        <f t="shared" si="36"/>
        <v>149</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5015</v>
      </c>
      <c r="AZ31" s="144">
        <f>SUBTOTAL(9,AZ9:AZ30)</f>
        <v>1577</v>
      </c>
      <c r="BA31" s="144">
        <f>SUBTOTAL(9,BA9:BA30)</f>
        <v>1291</v>
      </c>
      <c r="BB31" s="144">
        <f>SUBTOTAL(9,BB9:BB30)</f>
        <v>5135</v>
      </c>
      <c r="BC31" s="145">
        <f>SUBTOTAL(9,BC9:BC30)</f>
        <v>423</v>
      </c>
      <c r="BD31" s="227">
        <f>IF(ISNUMBER(BA31/AZ31),BA31/AZ31," - ")</f>
        <v>0.81864299302473054</v>
      </c>
      <c r="BE31" s="224">
        <f>IF(ISNUMBER(BB31/BA31),BB31/BA31, " - ")</f>
        <v>3.9775367931835786</v>
      </c>
      <c r="BF31" s="224">
        <f>IF(ISNUMBER(BC31/BA31),BC31/BA31, " - ")</f>
        <v>0.32765298218435324</v>
      </c>
      <c r="BG31" s="145">
        <f>IF(ISNUMBER((AY31+AZ31)/BA31),(AY31+AZ31)/BA31," - ")</f>
        <v>5.1061192873741286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IMnSy6RzkaOC6iq59GeRmNNvZgAz0ITrp0FtuYzWqJon5DYllhh8mFsfS038kKVWFZwFNsLRPj/8bhK9GyOQ==" saltValue="9j3uat4pxkzX+5MEhYHn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pGPSRAvJdiX5hypjOulOBTeU7nDc3JdZdGbUmS2s+h7vLr5jG/sJ4WgGC2o0Nwyz5IhYjL51vqW0qTMLhnnlg==" saltValue="AeMyjXN/Q0QXQGxdrswS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VILLAJOYOSA-VILA JOIOSA, 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49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4</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29.400000000000006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123</v>
      </c>
      <c r="O12" s="549"/>
      <c r="P12" s="549"/>
      <c r="Q12" s="547">
        <f>IF(ISNUMBER(Datos!P12),Datos!P12,0)</f>
        <v>231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6024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345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0.88856589147286824</v>
      </c>
      <c r="BH12" s="764">
        <f>IF(ISNUMBER(((IF(J_V="SI",Datos!L12/Datos!K12,(Datos!L12+Datos!AB12)/(Datos!K12+Datos!AA12)))*11)/factor_trimestre),((IF(J_V="SI",Datos!L12/Datos!K12,(Datos!L12+Datos!AB12)/(Datos!K12+Datos!AA12)))*11)/factor_trimestre," - ")</f>
        <v>13.374045801526719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1.039919490103992E-2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123</v>
      </c>
      <c r="O14" s="1199">
        <f t="shared" si="1"/>
        <v>0</v>
      </c>
      <c r="P14" s="1199">
        <f t="shared" si="1"/>
        <v>0</v>
      </c>
      <c r="Q14" s="1198">
        <f t="shared" si="1"/>
        <v>231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169</v>
      </c>
      <c r="AD14" s="1198">
        <f t="shared" si="2"/>
        <v>0</v>
      </c>
      <c r="AE14" s="1198">
        <f t="shared" si="2"/>
        <v>0</v>
      </c>
      <c r="AF14" s="1198">
        <f t="shared" si="2"/>
        <v>49</v>
      </c>
      <c r="AG14" s="1198">
        <f t="shared" si="2"/>
        <v>0</v>
      </c>
      <c r="AH14" s="1198">
        <f t="shared" si="2"/>
        <v>109</v>
      </c>
      <c r="AI14" s="1198">
        <f t="shared" si="2"/>
        <v>0</v>
      </c>
      <c r="AJ14" s="1198">
        <f t="shared" si="2"/>
        <v>0</v>
      </c>
      <c r="AK14" s="1198">
        <f t="shared" si="2"/>
        <v>0</v>
      </c>
      <c r="AL14" s="1198">
        <f t="shared" si="2"/>
        <v>0</v>
      </c>
      <c r="AM14" s="1198">
        <f t="shared" si="2"/>
        <v>6025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198</v>
      </c>
      <c r="BD14" s="1198">
        <f t="shared" si="2"/>
        <v>349</v>
      </c>
      <c r="BE14" s="1198">
        <f t="shared" si="2"/>
        <v>0</v>
      </c>
      <c r="BF14" s="1198">
        <f t="shared" si="2"/>
        <v>0</v>
      </c>
      <c r="BG14" s="1198">
        <f>IF(ISNUMBER(Datos!K14/Datos!J14),Datos!K14/Datos!J14," - ")</f>
        <v>0.84193194291986828</v>
      </c>
      <c r="BH14" s="1202">
        <f>IF(ISNUMBER(((Datos!L14/Datos!K14)*11)/factor_trimestre),((Datos!L14/Datos!K14)*11)/factor_trimestre," - ")</f>
        <v>15.754889178617992</v>
      </c>
      <c r="BI14" s="1198">
        <f>IF(ISNUMBER('Resol  Asuntos'!D14/NºAsuntos!G14),'Resol  Asuntos'!D14/NºAsuntos!G14," - ")</f>
        <v>0.21475054229934923</v>
      </c>
      <c r="BJ14" s="1198" t="str">
        <f>IF(ISNUMBER(Datos!CI14/Datos!CJ14),Datos!CI14/Datos!CJ14," - ")</f>
        <v xml:space="preserve"> - </v>
      </c>
      <c r="BK14" s="1198">
        <f>SUBTOTAL(9,BK8:BK13)</f>
        <v>0</v>
      </c>
      <c r="BL14" s="1198">
        <f>IF(ISNUMBER((I14-AB14+L14)/(F14)),(I14-AB14+L14)/(F14)," - ")</f>
        <v>-9.6153846153846159E-2</v>
      </c>
      <c r="BM14" s="1203">
        <f>SUBTOTAL(9,BM9:BM13)</f>
        <v>1.039919490103992E-2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1164</v>
      </c>
      <c r="G17" s="743">
        <f>IF(ISNUMBER(IF(D_I="SI",Datos!I17,Datos!I17+Datos!AC17)),IF(D_I="SI",Datos!I17,Datos!I17+Datos!AC17)," - ")</f>
        <v>1162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791</v>
      </c>
      <c r="AC17" s="240">
        <f>IF(ISNUMBER(Datos!Q17),Datos!Q17," - ")</f>
        <v>24</v>
      </c>
      <c r="AD17" s="374"/>
      <c r="AE17" s="562"/>
      <c r="AF17" s="741">
        <f>IF(ISNUMBER(IF(D_I="SI",Datos!L17,Datos!L17+Datos!AF17)),IF(D_I="SI",Datos!L17,Datos!L17+Datos!AF17)," - ")</f>
        <v>1109</v>
      </c>
      <c r="AG17" s="374"/>
      <c r="AH17" s="374"/>
      <c r="AI17" s="374"/>
      <c r="AJ17" s="549"/>
      <c r="AK17" s="374"/>
      <c r="AL17" s="545"/>
      <c r="AM17" s="375">
        <f>IF(ISNUMBER(Datos!R17),Datos!R17," - ")</f>
        <v>199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94</v>
      </c>
      <c r="BD17" s="243">
        <f>IF(ISNUMBER(Datos!N17),Datos!N17," - ")</f>
        <v>503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1.0747282608695652</v>
      </c>
      <c r="BH17" s="764">
        <f>IF(ISNUMBER(((IF(D_I="SI",Datos!L17/Datos!K17,(Datos!L17+Datos!AF17)/(Datos!K17+Datos!AE17)))*11)/factor_trimestre),((IF(D_I="SI",Datos!L17/Datos!K17,(Datos!L17+Datos!AF17)/(Datos!K17+Datos!AE17)))*11)/factor_trimestre," - ")</f>
        <v>4.2060682680151711</v>
      </c>
      <c r="BI17" s="266">
        <f>IF(ISNUMBER('Resol  Asuntos'!D17/NºAsuntos!G17),'Resol  Asuntos'!D17/NºAsuntos!G17," - ")</f>
        <v>0.11883691529709228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79</v>
      </c>
      <c r="AC18" s="547">
        <f>IF(ISNUMBER(Datos!Q18),Datos!Q18," - ")</f>
        <v>0</v>
      </c>
      <c r="AD18" s="549"/>
      <c r="AE18" s="562"/>
      <c r="AF18" s="551">
        <f>IF(ISNUMBER(Datos!L18),Datos!L18,"-")</f>
        <v>238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0.71818181818181814</v>
      </c>
      <c r="BH18" s="764">
        <f>IF(ISNUMBER(((IF(D_I="SI",Datos!L18/Datos!K18,(Datos!L18+Datos!AF18)/(Datos!K18+Datos!AE18)))*11)/factor_trimestre),((IF(D_I="SI",Datos!L18/Datos!K18,(Datos!L18+Datos!AF18)/(Datos!K18+Datos!AE18)))*11)/factor_trimestre," - ")</f>
        <v>9.037974683544304</v>
      </c>
      <c r="BI18" s="763">
        <f>IF(ISNUMBER('Resol  Asuntos'!D18/NºAsuntos!G18),'Resol  Asuntos'!D18/NºAsuntos!G18," - ")</f>
        <v>0.12658227848101267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1164</v>
      </c>
      <c r="G23" s="1197">
        <f>SUBTOTAL(9,G16:G22)</f>
        <v>1367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870</v>
      </c>
      <c r="AC23" s="1198">
        <f t="shared" si="5"/>
        <v>24</v>
      </c>
      <c r="AD23" s="1198">
        <f t="shared" si="5"/>
        <v>0</v>
      </c>
      <c r="AE23" s="1198">
        <f t="shared" si="5"/>
        <v>0</v>
      </c>
      <c r="AF23" s="1198">
        <f t="shared" si="5"/>
        <v>1347</v>
      </c>
      <c r="AG23" s="1198">
        <f t="shared" si="5"/>
        <v>0</v>
      </c>
      <c r="AH23" s="1198">
        <f t="shared" si="5"/>
        <v>0</v>
      </c>
      <c r="AI23" s="1198">
        <f t="shared" si="5"/>
        <v>0</v>
      </c>
      <c r="AJ23" s="1198">
        <f t="shared" si="5"/>
        <v>0</v>
      </c>
      <c r="AK23" s="1198">
        <f t="shared" si="5"/>
        <v>0</v>
      </c>
      <c r="AL23" s="1198">
        <f t="shared" si="5"/>
        <v>0</v>
      </c>
      <c r="AM23" s="1198">
        <f t="shared" si="5"/>
        <v>199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552</v>
      </c>
      <c r="BE23" s="1198">
        <f t="shared" si="5"/>
        <v>0</v>
      </c>
      <c r="BF23" s="1198">
        <f t="shared" si="5"/>
        <v>0</v>
      </c>
      <c r="BG23" s="1198">
        <f>IF(ISNUMBER(Datos!K23/Datos!J23),Datos!K23/Datos!J23," - ")</f>
        <v>1.0283687943262412</v>
      </c>
      <c r="BH23" s="1202">
        <f>IF(ISNUMBER(((Datos!L23/Datos!K23)*11)/factor_trimestre),((Datos!L23/Datos!K23)*11)/factor_trimestre," - ")</f>
        <v>4.6448275862068966</v>
      </c>
      <c r="BI23" s="1198">
        <f>SUBTOTAL(9,BI16:BI22)</f>
        <v>0.24541919377810495</v>
      </c>
      <c r="BJ23" s="1198">
        <f>SUBTOTAL(9,BJ16:BJ22)</f>
        <v>0</v>
      </c>
      <c r="BK23" s="1198">
        <f>SUBTOTAL(9,BK16:BK22)</f>
        <v>0</v>
      </c>
      <c r="BL23" s="1198">
        <f>IF(ISNUMBER((I23-AB23+L23)/(F23)),(I23-AB23+L23)/(F23)," - ")</f>
        <v>-0.74742268041237114</v>
      </c>
      <c r="BM23" s="1205">
        <f>IF(ISNUMBER((Datos!P23-Datos!Q23)/(Datos!R23-Datos!P23+Datos!Q23)),(Datos!P23-Datos!Q23)/(Datos!R23-Datos!P23+Datos!Q23)," - ")</f>
        <v>0.15697674418604651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1216</v>
      </c>
      <c r="G31" s="1117">
        <f t="shared" si="18"/>
        <v>1419</v>
      </c>
      <c r="H31" s="1119">
        <f t="shared" si="18"/>
        <v>0</v>
      </c>
      <c r="I31" s="1117">
        <f t="shared" si="18"/>
        <v>0</v>
      </c>
      <c r="J31" s="1119">
        <f t="shared" si="18"/>
        <v>0</v>
      </c>
      <c r="K31" s="1119">
        <f t="shared" si="18"/>
        <v>0</v>
      </c>
      <c r="L31" s="1180">
        <f t="shared" si="18"/>
        <v>0</v>
      </c>
      <c r="M31" s="1180">
        <f t="shared" si="18"/>
        <v>0</v>
      </c>
      <c r="N31" s="1180">
        <f t="shared" si="18"/>
        <v>123</v>
      </c>
      <c r="O31" s="1180">
        <f t="shared" si="18"/>
        <v>0</v>
      </c>
      <c r="P31" s="1180">
        <f t="shared" si="18"/>
        <v>0</v>
      </c>
      <c r="Q31" s="1119">
        <f t="shared" si="18"/>
        <v>282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875</v>
      </c>
      <c r="AC31" s="1118">
        <f t="shared" si="19"/>
        <v>193</v>
      </c>
      <c r="AD31" s="1118">
        <f t="shared" si="19"/>
        <v>0</v>
      </c>
      <c r="AE31" s="1118">
        <f t="shared" si="19"/>
        <v>0</v>
      </c>
      <c r="AF31" s="1125">
        <f t="shared" si="19"/>
        <v>1396</v>
      </c>
      <c r="AG31" s="1125">
        <f t="shared" si="19"/>
        <v>0</v>
      </c>
      <c r="AH31" s="1125">
        <f t="shared" si="19"/>
        <v>109</v>
      </c>
      <c r="AI31" s="1125">
        <f t="shared" si="19"/>
        <v>0</v>
      </c>
      <c r="AJ31" s="1118">
        <f t="shared" si="19"/>
        <v>0</v>
      </c>
      <c r="AK31" s="1125">
        <f t="shared" si="19"/>
        <v>0</v>
      </c>
      <c r="AL31" s="1125">
        <f t="shared" si="19"/>
        <v>0</v>
      </c>
      <c r="AM31" s="1125">
        <f t="shared" si="19"/>
        <v>6224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302</v>
      </c>
      <c r="BD31" s="1117">
        <f t="shared" si="19"/>
        <v>901</v>
      </c>
      <c r="BE31" s="1117">
        <f t="shared" si="19"/>
        <v>0</v>
      </c>
      <c r="BF31" s="1127">
        <f t="shared" si="19"/>
        <v>0</v>
      </c>
      <c r="BG31" s="1223">
        <f>IF(ISNUMBER(Datos!K31/Datos!J31),Datos!K31/Datos!J31," - ")</f>
        <v>0.93170176437108709</v>
      </c>
      <c r="BH31" s="1223">
        <f>IF(ISNUMBER(((Datos!L31/Datos!K31)*11)/factor_trimestre),((Datos!L31/Datos!K31)*11)/factor_trimestre," - ")</f>
        <v>9.8503359804520461</v>
      </c>
      <c r="BI31" s="1103">
        <f>IF(ISNUMBER(Datos!J31/Datos!I31),Datos!J31/Datos!I31," - ")</f>
        <v>0.33201058201058203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-0.71957236842105265</v>
      </c>
      <c r="BM31" s="1188">
        <f>IF(ISNUMBER((Datos!P31-Datos!Q31+R31)/(Datos!R31-Datos!P31+Datos!Q31-R31)),(Datos!P31-Datos!Q31+R31)/(Datos!R31-Datos!P31+Datos!Q31-R31)," - ")</f>
        <v>1.4506927465362673E-2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588.12062254835678</v>
      </c>
      <c r="G33" s="674">
        <f>IF(ISNUMBER(STDEV(G8:G30)),STDEV(G8:G30),"-")</f>
        <v>593.82372725213588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398.1984429904266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86.324967419628948</v>
      </c>
      <c r="BD33" s="673"/>
      <c r="BE33" s="673">
        <f>IF(ISNUMBER(STDEV(BE8:BE30)),STDEV(BE8:BE30),"-")</f>
        <v>0</v>
      </c>
      <c r="BF33" s="678">
        <f>IF(ISNUMBER(STDEV(BF8:BF30)),STDEV(BF8:BF30),"-")</f>
        <v>0</v>
      </c>
      <c r="BG33" s="1052">
        <f>IF(ISNUMBER(STDEV(BG8:BG30)),STDEV(BG8:BG30),"-")</f>
        <v>0.66164058014076388</v>
      </c>
      <c r="BH33" s="1058">
        <f>IF(ISNUMBER(STDEV(BH8:BH30)),STDEV(BH8:BH30),"-")</f>
        <v>9.3713594253715673</v>
      </c>
      <c r="BI33" s="273">
        <f>IF(ISNUMBER(STDEV(BI8:BI30)),STDEV(BI8:BI30),"-")</f>
        <v>6.3323842986282977E-2</v>
      </c>
      <c r="BJ33" s="244" t="str">
        <f>IF(ISNUMBER(BL33/BM33),BL33/BM33," - ")</f>
        <v xml:space="preserve"> - </v>
      </c>
      <c r="BK33" s="709"/>
      <c r="BL33" s="681">
        <f>IF(ISNUMBER(STDEV(BL8:BL30)),STDEV(BL8:BL30),"-")</f>
        <v>0.46051660907966069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3VYA3/2fJTsz1anNupdRuyQO83CTCgUbu8pbvSNmGNiO9gF2wmySV5AIltHQd2dCeNeDNQusymYzz0eGRzjOA==" saltValue="Tr7X4jLHa7UKR1YTwBV0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VILLAJOYOSA-VILA JOIOSA, 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49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29.400000000000006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169</v>
      </c>
      <c r="AA12" s="551" t="str">
        <f>IF(ISNUMBER(IF(J_V="SI",Datos!L12,Datos!L12+Datos!AB12)-IF(Monitorios="SI",Datos!CD12,0)),
                          IF(J_V="SI",Datos!L12,Datos!L12+Datos!AB12)-IF(Monitorios="SI",Datos!CD12,0),
                          " - ")</f>
        <v xml:space="preserve"> - </v>
      </c>
      <c r="AB12" s="549"/>
      <c r="AC12" s="549"/>
      <c r="AD12" s="563"/>
      <c r="AE12" s="563">
        <f>IF(ISNUMBER(Datos!R12),Datos!R12," - ")</f>
        <v>6024</v>
      </c>
      <c r="AF12" s="693" t="str">
        <f>IF(ISNUMBER(Datos!BV12),Datos!BV12," - ")</f>
        <v xml:space="preserve"> - </v>
      </c>
      <c r="AG12" s="552" t="str">
        <f>IF(ISNUMBER(Datos!DV12),Datos!DV12," - ")</f>
        <v xml:space="preserve"> - </v>
      </c>
      <c r="AH12" s="553"/>
      <c r="AI12" s="554"/>
      <c r="AJ12" s="552">
        <f>IF(ISNUMBER(Datos!M12),Datos!M12," - ")</f>
        <v>197</v>
      </c>
      <c r="AK12" s="693">
        <f>IF(ISNUMBER(Datos!N12),Datos!N12," - ")</f>
        <v>345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13.374045801526719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1.039919490103992E-2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231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169</v>
      </c>
      <c r="AA14" s="1199">
        <f t="shared" si="3"/>
        <v>49</v>
      </c>
      <c r="AB14" s="1199">
        <f t="shared" si="3"/>
        <v>0</v>
      </c>
      <c r="AC14" s="1199">
        <f t="shared" si="3"/>
        <v>0</v>
      </c>
      <c r="AD14" s="1199">
        <f t="shared" si="3"/>
        <v>0</v>
      </c>
      <c r="AE14" s="1199">
        <f t="shared" si="3"/>
        <v>6025</v>
      </c>
      <c r="AF14" s="1211">
        <f t="shared" si="3"/>
        <v>0</v>
      </c>
      <c r="AG14" s="1211">
        <f t="shared" si="3"/>
        <v>0</v>
      </c>
      <c r="AH14" s="1211">
        <f t="shared" si="3"/>
        <v>0</v>
      </c>
      <c r="AI14" s="1211">
        <f t="shared" si="3"/>
        <v>0</v>
      </c>
      <c r="AJ14" s="1211">
        <f t="shared" si="3"/>
        <v>198</v>
      </c>
      <c r="AK14" s="1211">
        <f t="shared" si="3"/>
        <v>349</v>
      </c>
      <c r="AL14" s="1211">
        <f t="shared" si="3"/>
        <v>0</v>
      </c>
      <c r="AM14" s="1211">
        <f t="shared" si="3"/>
        <v>0</v>
      </c>
      <c r="AN14" s="1211">
        <f t="shared" si="3"/>
        <v>0</v>
      </c>
      <c r="AO14" s="1203">
        <f>IF(ISNUMBER(((NºAsuntos!I14/NºAsuntos!G14)*11)/factor_trimestre),((NºAsuntos!I14/NºAsuntos!G14)*11)/factor_trimestre," - ")</f>
        <v>13.460954446854664</v>
      </c>
      <c r="AP14" s="1213" t="str">
        <f>IF(ISNUMBER(Datos!CI14/Datos!CJ14),Datos!CI14/Datos!CJ14," - ")</f>
        <v xml:space="preserve"> - </v>
      </c>
      <c r="AQ14" s="1236">
        <f t="shared" ref="AQ14:AV14" si="4">SUBTOTAL(9,AQ9:AQ13)</f>
        <v>0</v>
      </c>
      <c r="AR14" s="1236">
        <f t="shared" si="4"/>
        <v>1.039919490103992E-2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1164</v>
      </c>
      <c r="G17" s="552">
        <f>IF(ISNUMBER(IF(D_I="SI",Datos!I17,Datos!I17+Datos!AC17)),IF(D_I="SI",Datos!I17,Datos!I17+Datos!AC17)," - ")</f>
        <v>1162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791</v>
      </c>
      <c r="Z17" s="805">
        <f>IF(ISNUMBER(Datos!Q17),Datos!Q17," - ")</f>
        <v>24</v>
      </c>
      <c r="AA17" s="551">
        <f>IF(ISNUMBER(IF(D_I="SI",Datos!L17,Datos!L17+Datos!AF17)),IF(D_I="SI",Datos!L17,Datos!L17+Datos!AF17)," - ")</f>
        <v>1109</v>
      </c>
      <c r="AB17" s="549"/>
      <c r="AC17" s="549"/>
      <c r="AD17" s="563"/>
      <c r="AE17" s="563">
        <f>IF(ISNUMBER(Datos!R17),Datos!R17," - ")</f>
        <v>199</v>
      </c>
      <c r="AF17" s="693" t="str">
        <f>IF(ISNUMBER(Datos!BV17),Datos!BV17," - ")</f>
        <v xml:space="preserve"> - </v>
      </c>
      <c r="AG17" s="552"/>
      <c r="AH17" s="553"/>
      <c r="AI17" s="554"/>
      <c r="AJ17" s="552">
        <f>IF(ISNUMBER(Datos!M17),Datos!M17," - ")</f>
        <v>94</v>
      </c>
      <c r="AK17" s="693">
        <f>IF(ISNUMBER(Datos!N17),Datos!N17," - ")</f>
        <v>503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4.2060682680151711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79</v>
      </c>
      <c r="Z18" s="805">
        <f>IF(ISNUMBER(Datos!Q18),Datos!Q18," - ")</f>
        <v>0</v>
      </c>
      <c r="AA18" s="551">
        <f>IF(ISNUMBER(Datos!L18),Datos!L18,"-")</f>
        <v>238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9.037974683544304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1164</v>
      </c>
      <c r="G23" s="1197">
        <f>SUBTOTAL(9,G16:G22)</f>
        <v>1367</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870</v>
      </c>
      <c r="Z23" s="1240">
        <f t="shared" si="6"/>
        <v>24</v>
      </c>
      <c r="AA23" s="1240">
        <f t="shared" si="6"/>
        <v>1347</v>
      </c>
      <c r="AB23" s="1240">
        <f t="shared" si="6"/>
        <v>0</v>
      </c>
      <c r="AC23" s="1240">
        <f t="shared" si="6"/>
        <v>0</v>
      </c>
      <c r="AD23" s="1240">
        <f t="shared" si="6"/>
        <v>0</v>
      </c>
      <c r="AE23" s="1240">
        <f t="shared" si="6"/>
        <v>199</v>
      </c>
      <c r="AF23" s="1240">
        <f t="shared" si="6"/>
        <v>0</v>
      </c>
      <c r="AG23" s="1240">
        <f t="shared" si="6"/>
        <v>0</v>
      </c>
      <c r="AH23" s="1240">
        <f t="shared" si="6"/>
        <v>0</v>
      </c>
      <c r="AI23" s="1240">
        <f t="shared" si="6"/>
        <v>0</v>
      </c>
      <c r="AJ23" s="1240">
        <f t="shared" si="6"/>
        <v>104</v>
      </c>
      <c r="AK23" s="1240">
        <f t="shared" si="6"/>
        <v>552</v>
      </c>
      <c r="AL23" s="1240">
        <f t="shared" si="6"/>
        <v>0</v>
      </c>
      <c r="AM23" s="1240">
        <f t="shared" si="6"/>
        <v>0</v>
      </c>
      <c r="AN23" s="1240">
        <f t="shared" si="6"/>
        <v>0</v>
      </c>
      <c r="AO23" s="1242">
        <f>IF(ISNUMBER(((NºAsuntos!I23/NºAsuntos!G23)*11)/factor_trimestre),((NºAsuntos!I23/NºAsuntos!G23)*11)/factor_trimestre," - ")</f>
        <v>4.6448275862068966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1216</v>
      </c>
      <c r="G31" s="1117">
        <f t="shared" si="12"/>
        <v>1419</v>
      </c>
      <c r="H31" s="1118">
        <f t="shared" si="12"/>
        <v>0</v>
      </c>
      <c r="I31" s="1117">
        <f t="shared" si="12"/>
        <v>0</v>
      </c>
      <c r="J31" s="1119">
        <f t="shared" si="12"/>
        <v>0</v>
      </c>
      <c r="K31" s="1117">
        <f t="shared" si="12"/>
        <v>0</v>
      </c>
      <c r="L31" s="1120">
        <f t="shared" si="12"/>
        <v>0</v>
      </c>
      <c r="M31" s="1117">
        <f t="shared" si="12"/>
        <v>0</v>
      </c>
      <c r="N31" s="1118">
        <f t="shared" si="12"/>
        <v>282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875</v>
      </c>
      <c r="Z31" s="1124">
        <f t="shared" si="13"/>
        <v>193</v>
      </c>
      <c r="AA31" s="1125">
        <f t="shared" si="13"/>
        <v>1396</v>
      </c>
      <c r="AB31" s="1125">
        <f t="shared" si="13"/>
        <v>0</v>
      </c>
      <c r="AC31" s="1125">
        <f t="shared" si="13"/>
        <v>0</v>
      </c>
      <c r="AD31" s="1126">
        <f t="shared" si="13"/>
        <v>0</v>
      </c>
      <c r="AE31" s="1126">
        <f t="shared" si="13"/>
        <v>6224</v>
      </c>
      <c r="AF31" s="1127">
        <f t="shared" si="13"/>
        <v>0</v>
      </c>
      <c r="AG31" s="1128">
        <f t="shared" si="13"/>
        <v>0</v>
      </c>
      <c r="AH31" s="1129">
        <f t="shared" si="13"/>
        <v>0</v>
      </c>
      <c r="AI31" s="1127">
        <f t="shared" si="13"/>
        <v>0</v>
      </c>
      <c r="AJ31" s="1117">
        <f t="shared" si="13"/>
        <v>302</v>
      </c>
      <c r="AK31" s="1117">
        <f t="shared" si="13"/>
        <v>901</v>
      </c>
      <c r="AL31" s="1117">
        <f t="shared" si="13"/>
        <v>0</v>
      </c>
      <c r="AM31" s="1130">
        <f t="shared" si="13"/>
        <v>0</v>
      </c>
      <c r="AN31" s="1120">
        <f>IF(ISNUMBER(Datos!K31/Datos!J31),Datos!K31/Datos!J31," - ")</f>
        <v>0.93170176437108709</v>
      </c>
      <c r="AO31" s="1120">
        <f>IF(ISNUMBER(FIND("06",Criterios!A8,1)),(IF(ISNUMBER(((Datos!R31/Datos!Q31)*11)/factor_trimestre),((Datos!R31/Datos!Q31)*11)/factor_trimestre," - ")),(IF(ISNUMBER(((Datos!L31/Datos!K31)*11)/factor_trimestre),((Datos!L31/Datos!K31)*11)/factor_trimestre," - ")))</f>
        <v>9.8503359804520461</v>
      </c>
      <c r="AP31" s="1131" t="str">
        <f>IF(ISNUMBER(Datos!CI31/Datos!CJ31),Datos!CI31/Datos!CJ31," - ")</f>
        <v xml:space="preserve"> - </v>
      </c>
      <c r="AQ31" s="1131">
        <f>IF(OR(ISNUMBER(FIND("01",Criterios!A8,1)),ISNUMBER(FIND("02",Criterios!A8,1)),ISNUMBER(FIND("03",Criterios!A8,1)),ISNUMBER(FIND("04",Criterios!A8,1))),(J31-Y31+K31)/(F31-K31),(I31-Y31+K31)/(F31-K31))</f>
        <v>-0.71957236842105265</v>
      </c>
      <c r="AR31" s="1131">
        <f>IF(ISNUMBER((Datos!P31-Datos!Q31+O31)/(Datos!R31-Datos!P31+Datos!Q31-O31)),(Datos!P31-Datos!Q31+O31)/(Datos!R31-Datos!P31+Datos!Q31-O31)," - ")</f>
        <v>1.4506927465362673E-2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588.12062254835678</v>
      </c>
      <c r="G33" s="674">
        <f>IF(ISNUMBER(STDEV(G8:G30)),STDEV(G8:G30),"-")</f>
        <v>593.82372725213588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86.324967419628948</v>
      </c>
      <c r="AK33" s="276"/>
      <c r="AL33" s="276">
        <f>IF(ISNUMBER(STDEV(AL8:AL30)),STDEV(AL8:AL30),"-")</f>
        <v>0</v>
      </c>
      <c r="AM33" s="278">
        <f>IF(ISNUMBER(STDEV(AM8:AM30)),STDEV(AM8:AM30),"-")</f>
        <v>0</v>
      </c>
      <c r="AN33" s="660">
        <f>IF(ISNUMBER(STDEV(AN8:AN30)),STDEV(AN8:AN30),"-")</f>
        <v>0</v>
      </c>
      <c r="AO33" s="661">
        <f>IF(ISNUMBER(STDEV(AO8:AO30)),STDEV(AO8:AO30),"-")</f>
        <v>9.2698232161772118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4SKKeEcJX0dEk4HWAwSDesVq9g2J25Wq43ReOzTxLFHtZxkJLeJ+yV0C0gRV8+Njozp73koXbUAiqzOetntskQ==" saltValue="0jH024/ESbBuFZVcWoLc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w9PFrFQDxtdynIPLZd3O6lrzHG3g5JZHHu7kL2PGBtqyRXAbjE3BC7rJrxmrYpn5XeRUaBlXsNm4AnFGQWXJg==" saltValue="xWJGUNwsKYpgijuYd3v1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dE7nXCMuyadZo32vOjjUOJBzExoY1nfnRfqe174DtYYUXvmlmgsKRgiLQXnC2QIlORuedTodSu1GikrdtJ6Rw==" saltValue="R3dK0YOz/ehhDp2MydsC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VILLAJOYOSA-VILA JOIOSA, 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0.21475054229934923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0.15185156472335834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34CcxmVd8i5rVyw7iZl1lD5YFSObTI0YapHq1wND2vSN0daS0jp2H9m5CNqkICoj2hw5jQ2aUd9k8gJaCpVog==" saltValue="uCQD48kTq769avUpTxaV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MsHZlfOdoRhzKVZio+2c498Tp+yyzwmayqZ8MMtZtadmmEwVhBy2e9RGXxvuDerMLtSP35kJsT6jzI5WzyUzQ==" saltValue="QP84E6nU3uetKWbzhn0a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VILLAJOYOSA-VILA JOIOSA, 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2</v>
      </c>
      <c r="F10" s="452">
        <f>IF(ISNUMBER(E10/B10),E10/B10," - ")</f>
        <v>2</v>
      </c>
      <c r="G10" s="451">
        <f>IF(ISNUMBER(Datos!K10),Datos!K10," - ")</f>
        <v>5</v>
      </c>
      <c r="H10" s="452">
        <f>IF(ISNUMBER(G10/B10),G10/B10," - ")</f>
        <v>5</v>
      </c>
      <c r="I10" s="451">
        <f>IF(ISNUMBER(Datos!L10),Datos!L10," - ")</f>
        <v>49</v>
      </c>
      <c r="J10" s="452">
        <f>IF(ISNUMBER(I10/B10),I10/B10," - ")</f>
        <v>49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4014</v>
      </c>
      <c r="D12" s="452">
        <f>IF(ISNUMBER(C12/Datos!BH12),C12/Datos!BH12," - ")</f>
        <v>1003.5</v>
      </c>
      <c r="E12" s="451">
        <f>IF(ISNUMBER(IF(J_V="SI",Datos!J12,Datos!J12+Datos!Z12)),IF(J_V="SI",Datos!J12,Datos!J12+Datos!Z12)," - ")</f>
        <v>1032</v>
      </c>
      <c r="F12" s="452">
        <f>IF(ISNUMBER(E12/B12),E12/B12," - ")</f>
        <v>258</v>
      </c>
      <c r="G12" s="451">
        <f>IF(ISNUMBER(IF(J_V="SI",Datos!K12,Datos!K12+Datos!AA12)),IF(J_V="SI",Datos!K12,Datos!K12+Datos!AA12)," - ")</f>
        <v>917</v>
      </c>
      <c r="H12" s="452">
        <f>IF(ISNUMBER(G12/B12),G12/B12," - ")</f>
        <v>229.25</v>
      </c>
      <c r="I12" s="451">
        <f>IF(ISNUMBER(IF(J_V="SI",Datos!L12,Datos!L12+Datos!AB12)),IF(J_V="SI",Datos!L12,Datos!L12+Datos!AB12)," - ")</f>
        <v>4088</v>
      </c>
      <c r="J12" s="452">
        <f>IF(ISNUMBER(I12/B12),I12/B12," - ")</f>
        <v>1022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4066</v>
      </c>
      <c r="D14" s="1147" t="str">
        <f>IF(ISNUMBER(C14/Datos!BI14),C14/Datos!BI14," - ")</f>
        <v xml:space="preserve"> - </v>
      </c>
      <c r="E14" s="1146">
        <f>SUBTOTAL(9,E8:E13)</f>
        <v>1034</v>
      </c>
      <c r="F14" s="1147">
        <f>IF(ISNUMBER(E14/B14),E14/B14," - ")</f>
        <v>258.5</v>
      </c>
      <c r="G14" s="1146">
        <f>SUBTOTAL(9,G8:G13)</f>
        <v>922</v>
      </c>
      <c r="H14" s="1147">
        <f>IF(ISNUMBER(G14/B14),G14/B14," - ")</f>
        <v>230.5</v>
      </c>
      <c r="I14" s="1146">
        <f>SUBTOTAL(9,I8:I13)</f>
        <v>4137</v>
      </c>
      <c r="J14" s="1147">
        <f>IF(ISNUMBER(I14/B14),I14/B14," - ")</f>
        <v>1034.25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1162</v>
      </c>
      <c r="D17" s="452">
        <f>IF(ISNUMBER(C17/Datos!BH17),C17/Datos!BH17," - ")</f>
        <v>290.5</v>
      </c>
      <c r="E17" s="451">
        <f>IF(ISNUMBER(IF(D_I="SI",Datos!J17,Datos!J17+Datos!AD17)),IF(D_I="SI",Datos!J17,Datos!J17+Datos!AD17)," - ")</f>
        <v>736</v>
      </c>
      <c r="F17" s="452">
        <f>IF(ISNUMBER(E17/B17),E17/B17," - ")</f>
        <v>184</v>
      </c>
      <c r="G17" s="451">
        <f>IF(ISNUMBER(IF(D_I="SI",Datos!K17,Datos!K17+Datos!AE17)),IF(D_I="SI",Datos!K17,Datos!K17+Datos!AE17)," - ")</f>
        <v>791</v>
      </c>
      <c r="H17" s="452">
        <f>IF(ISNUMBER(G17/B17),G17/B17," - ")</f>
        <v>197.75</v>
      </c>
      <c r="I17" s="451">
        <f>IF(ISNUMBER(IF(D_I="SI",Datos!L17,Datos!L17+Datos!AF17)),IF(D_I="SI",Datos!L17,Datos!L17+Datos!AF17)," - ")</f>
        <v>1109</v>
      </c>
      <c r="J17" s="452">
        <f>IF(ISNUMBER(I17/B17),I17/B17," - ")</f>
        <v>277.25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205</v>
      </c>
      <c r="D18" s="452">
        <f>IF(ISNUMBER(C18/Datos!BH18),C18/Datos!BH18," - ")</f>
        <v>205</v>
      </c>
      <c r="E18" s="451">
        <f>IF(ISNUMBER(IF(D_I="SI",Datos!J18,Datos!J18+Datos!AD18)),IF(D_I="SI",Datos!J18,Datos!J18+Datos!AD18)," - ")</f>
        <v>110</v>
      </c>
      <c r="F18" s="452">
        <f>IF(ISNUMBER(E18/B18),E18/B18," - ")</f>
        <v>110</v>
      </c>
      <c r="G18" s="451">
        <f>IF(ISNUMBER(IF(D_I="SI",Datos!K18,Datos!K18+Datos!AE18)),IF(D_I="SI",Datos!K18,Datos!K18+Datos!AE18)," - ")</f>
        <v>79</v>
      </c>
      <c r="H18" s="452">
        <f>IF(ISNUMBER(G18/B18),G18/B18," - ")</f>
        <v>79</v>
      </c>
      <c r="I18" s="451">
        <f>IF(ISNUMBER(IF(D_I="SI",Datos!L18,Datos!L18+Datos!AF18)),IF(D_I="SI",Datos!L18,Datos!L18+Datos!AF18)," - ")</f>
        <v>238</v>
      </c>
      <c r="J18" s="452">
        <f>IF(ISNUMBER(I18/B18),I18/B18," - ")</f>
        <v>238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1367</v>
      </c>
      <c r="D23" s="1147" t="str">
        <f>IF(ISNUMBER(C23/Datos!BI23),C23/Datos!BI23," - ")</f>
        <v xml:space="preserve"> - </v>
      </c>
      <c r="E23" s="1146">
        <f>SUBTOTAL(9,E15:E22)</f>
        <v>846</v>
      </c>
      <c r="F23" s="1147">
        <f>IF(ISNUMBER(E23/B23),E23/B23," - ")</f>
        <v>211.5</v>
      </c>
      <c r="G23" s="1146">
        <f>SUBTOTAL(9,G15:G22)</f>
        <v>870</v>
      </c>
      <c r="H23" s="1147">
        <f>IF(ISNUMBER(G23/B23),G23/B23," - ")</f>
        <v>217.5</v>
      </c>
      <c r="I23" s="1146">
        <f>SUBTOTAL(9,I15:I22)</f>
        <v>1347</v>
      </c>
      <c r="J23" s="1147">
        <f>IF(ISNUMBER(I23/B23),I23/B23," - ")</f>
        <v>336.75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5433</v>
      </c>
      <c r="D31" s="1085" t="str">
        <f>IF(ISNUMBER(C31/Datos!BI31),C31/Datos!BI31," - ")</f>
        <v xml:space="preserve"> - </v>
      </c>
      <c r="E31" s="1084">
        <f>SUBTOTAL(9,E9:E30)</f>
        <v>1880</v>
      </c>
      <c r="F31" s="1085">
        <f>IF(ISNUMBER(E31/B31),E31/B31," - ")</f>
        <v>470</v>
      </c>
      <c r="G31" s="1084">
        <f>SUBTOTAL(9,G9:G30)</f>
        <v>1792</v>
      </c>
      <c r="H31" s="1085">
        <f>IF(ISNUMBER(G31/B31),G31/B31," - ")</f>
        <v>448</v>
      </c>
      <c r="I31" s="1084">
        <f>SUBTOTAL(9,I9:I30)</f>
        <v>5484</v>
      </c>
      <c r="J31" s="1085">
        <f>IF(ISNUMBER(I31/B31),I31/B31," - ")</f>
        <v>1371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8g1ryPhhgQF0o5IHeqfF7tBeYY3TWpISOCnqKIe92EuSVvDaoZopLpLGZPgmr8vFkIMJaqyjRe74ji7GbXQ9w==" saltValue="OokJd2hBX0KfJP7AsqgK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VILLAJOYOSA-VILA JOIOSA, 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29.400000000000006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6024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345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13.374045801526719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1.039919490103992E-2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231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169</v>
      </c>
      <c r="AE14" s="1257">
        <f t="shared" si="1"/>
        <v>0</v>
      </c>
      <c r="AF14" s="1257">
        <f t="shared" si="1"/>
        <v>49</v>
      </c>
      <c r="AG14" s="1257">
        <f t="shared" si="1"/>
        <v>0</v>
      </c>
      <c r="AH14" s="1257">
        <f t="shared" si="1"/>
        <v>6024</v>
      </c>
      <c r="AI14" s="1257">
        <f t="shared" si="1"/>
        <v>0</v>
      </c>
      <c r="AJ14" s="1257">
        <f t="shared" si="1"/>
        <v>0</v>
      </c>
      <c r="AK14" s="1257">
        <f t="shared" si="1"/>
        <v>0</v>
      </c>
      <c r="AL14" s="1257">
        <f t="shared" si="1"/>
        <v>198</v>
      </c>
      <c r="AM14" s="1257">
        <f t="shared" si="1"/>
        <v>349</v>
      </c>
      <c r="AN14" s="1257">
        <f t="shared" si="1"/>
        <v>0</v>
      </c>
      <c r="AO14" s="1257">
        <f t="shared" si="1"/>
        <v>0</v>
      </c>
      <c r="AP14" s="1262">
        <f>IF(ISNUMBER(((Datos!L14/Datos!K14)*11)/factor_trimestre),((Datos!L14/Datos!K14)*11)/factor_trimestre," - ")</f>
        <v>15.754889178617992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-9.6153846153846159E-2</v>
      </c>
      <c r="AU14" s="1257" t="str">
        <f>IF(ISNUMBER((DatosP!#REF!-DatosP!#REF!+DatosP!#REF!)/(DatosP!#REF!+DatosP!#REF!-DatosP!#REF!-DatosP!#REF!)),(DatosP!#REF!-DatosP!#REF!+DatosP!#REF!)/(DatosP!#REF!+DatosP!#REF!-DatosP!#REF!-DatosP!#REF!)," - ")</f>
        <v xml:space="preserve"> - </v>
      </c>
      <c r="AV14" s="1263">
        <f>SUBTOTAL(9,AV9:AV13)</f>
        <v>1.039919490103992E-2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4.6448275862068966</v>
      </c>
      <c r="AQ23" s="1262">
        <f>IF(ISNUMBER(((Datos!M23/Datos!L23)*11)/factor_trimestre),((Datos!M23/Datos!L23)*11)/factor_trimestre," - ")</f>
        <v>0.23162583518930957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0.15697674418604651</v>
      </c>
      <c r="AW23" s="1265">
        <f>IF(ISNUMBER((Datos!Q23-Datos!R23)/(Datos!S23-Datos!Q23+Datos!R23)),(Datos!Q23-Datos!R23)/(Datos!S23-Datos!Q23+Datos!R23)," - ")</f>
        <v>-0.10670731707317073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231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169</v>
      </c>
      <c r="AE31" s="1284">
        <f t="shared" si="9"/>
        <v>0</v>
      </c>
      <c r="AF31" s="1285">
        <f t="shared" si="9"/>
        <v>49</v>
      </c>
      <c r="AG31" s="1285">
        <f t="shared" si="9"/>
        <v>0</v>
      </c>
      <c r="AH31" s="1285">
        <f t="shared" si="9"/>
        <v>6024</v>
      </c>
      <c r="AI31" s="1285">
        <f t="shared" si="9"/>
        <v>0</v>
      </c>
      <c r="AJ31" s="1286">
        <f t="shared" si="9"/>
        <v>0</v>
      </c>
      <c r="AK31" s="1286">
        <f t="shared" si="9"/>
        <v>0</v>
      </c>
      <c r="AL31" s="1278">
        <f t="shared" si="9"/>
        <v>198</v>
      </c>
      <c r="AM31" s="1278">
        <f t="shared" si="9"/>
        <v>349</v>
      </c>
      <c r="AN31" s="1278">
        <f t="shared" si="9"/>
        <v>0</v>
      </c>
      <c r="AO31" s="1278">
        <f t="shared" si="9"/>
        <v>0</v>
      </c>
      <c r="AP31" s="1278">
        <f>IF(ISNUMBER(((Datos!L31/Datos!K31)*11)/factor_trimestre),((Datos!L31/Datos!K31)*11)/factor_trimestre," - ")</f>
        <v>9.8503359804520461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-9.6153846153846159E-2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1.4506927465362673E-2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101.86068917889767</v>
      </c>
      <c r="AM33" s="1006"/>
      <c r="AN33" s="1006">
        <f>IF(ISNUMBER(STDEV(AN8:AN30)),STDEV(AN8:AN30),"-")</f>
        <v>0</v>
      </c>
      <c r="AO33" s="1012">
        <f>IF(ISNUMBER(STDEV(AO8:AO30)),STDEV(AO8:AO30),"-")</f>
        <v>0</v>
      </c>
      <c r="AP33" s="1065">
        <f>IF(ISNUMBER(STDEV(AP8:AP30)),STDEV(AP8:AP30),"-")</f>
        <v>10.251585052078786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71G/rpMUorz6np+8HMOIgY29Ifk2XfQHz8bIFx7TeZFSUHHuGh8fT3xcyltB3tcBEP6eIB+IFCw/mzlLdrdrQ==" saltValue="I/Sy2II5CMTSO1yke5gn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VILLAJOYOSA-VILA JOIOSA, 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MSSNQHJN2kqbgJO+OwBoohxx5rW+1FDhizFmT5JJiQo8obH98ldoIkuZRMm5TG7/adIuA6kMfJQNsx3fGoR3A==" saltValue="unKPfQ29iedCR7mrVKJb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VILLAJOYOSA-VILA JOIOSA, 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197</v>
      </c>
      <c r="E12" s="452">
        <f t="shared" si="0"/>
        <v>49.25</v>
      </c>
      <c r="F12" s="451">
        <f>IF(ISNUMBER(Datos!N12),Datos!N12," - ")</f>
        <v>345</v>
      </c>
      <c r="G12" s="452">
        <f t="shared" si="1"/>
        <v>86.25</v>
      </c>
      <c r="H12" s="451">
        <f>IF(ISNUMBER(Datos!O12),Datos!O12," - ")</f>
        <v>315</v>
      </c>
      <c r="I12" s="452">
        <f t="shared" si="2"/>
        <v>78.75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198</v>
      </c>
      <c r="E14" s="1147">
        <f t="shared" si="0"/>
        <v>39.6</v>
      </c>
      <c r="F14" s="1146">
        <f>SUBTOTAL(9,F9:F13)</f>
        <v>349</v>
      </c>
      <c r="G14" s="1147">
        <f t="shared" si="1"/>
        <v>69.8</v>
      </c>
      <c r="H14" s="1146">
        <f>SUBTOTAL(9,H9:H13)</f>
        <v>315</v>
      </c>
      <c r="I14" s="1147">
        <f>IF(ISNUMBER(H14/B14),H14/B14," - ")</f>
        <v>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94</v>
      </c>
      <c r="E17" s="452">
        <f t="shared" si="3"/>
        <v>23.5</v>
      </c>
      <c r="F17" s="451">
        <f>IF(ISNUMBER(Datos!N17),Datos!N17," - ")</f>
        <v>503</v>
      </c>
      <c r="G17" s="452">
        <f t="shared" si="4"/>
        <v>125.75</v>
      </c>
      <c r="H17" s="451">
        <f>IF(ISNUMBER(Datos!O17),Datos!O17," - ")</f>
        <v>23</v>
      </c>
      <c r="I17" s="452">
        <f t="shared" si="5"/>
        <v>5.75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104</v>
      </c>
      <c r="E23" s="1147">
        <f t="shared" si="3"/>
        <v>20.8</v>
      </c>
      <c r="F23" s="1146">
        <f>SUBTOTAL(9,F16:F22)</f>
        <v>552</v>
      </c>
      <c r="G23" s="1147">
        <f t="shared" si="4"/>
        <v>110.4</v>
      </c>
      <c r="H23" s="1146">
        <f>SUBTOTAL(9,H16:H22)</f>
        <v>23</v>
      </c>
      <c r="I23" s="1147">
        <f>IF(ISNUMBER(H23/B23),H23/B23," - ")</f>
        <v>4.5999999999999996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302</v>
      </c>
      <c r="E31" s="1085">
        <f>IF(ISNUMBER(D31/B31),D31/B31," - ")</f>
        <v>75.5</v>
      </c>
      <c r="F31" s="1084">
        <f>SUBTOTAL(9,F8:F30)</f>
        <v>901</v>
      </c>
      <c r="G31" s="1085">
        <f>IF(ISNUMBER(F31/B31),F31/B31," - ")</f>
        <v>225.25</v>
      </c>
      <c r="H31" s="1084">
        <f>SUBTOTAL(9,H8:H30)</f>
        <v>338</v>
      </c>
      <c r="I31" s="1085">
        <f>IF(ISNUMBER(H31/B31),H31/B31," - ")</f>
        <v>84.5</v>
      </c>
    </row>
    <row r="34" spans="1:1">
      <c r="A34" s="439" t="str">
        <f>Criterios!A4</f>
        <v>Fecha Informe: 05 may. 2023</v>
      </c>
    </row>
    <row r="39" spans="1:1">
      <c r="A39" s="462"/>
    </row>
  </sheetData>
  <sheetProtection algorithmName="SHA-512" hashValue="mzfEbWoj7pfDiOfX2/WymlmEKsRNaIROhxwyP6Ynw28uAzwVXCxWKaF90cTop8Fa1wSEm2PVXDi2pZBoVqVllw==" saltValue="eMcv+xI6VkGkwGKgcgAz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VILLAJOYOSA-VILA JOIOSA, 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231</v>
      </c>
      <c r="C12" s="489">
        <f>IF(ISNUMBER(Datos!Q12),Datos!Q12," - ")</f>
        <v>169</v>
      </c>
      <c r="D12" s="456">
        <f>IF(ISNUMBER(Datos!R12),Datos!R12," - ")</f>
        <v>6024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231</v>
      </c>
      <c r="C14" s="1150">
        <f>SUBTOTAL(9,C9:C13)</f>
        <v>169</v>
      </c>
      <c r="D14" s="1148">
        <f>SUBTOTAL(9,D9:D13)</f>
        <v>6025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24</v>
      </c>
      <c r="D17" s="456">
        <f>IF(ISNUMBER(Datos!R17),Datos!R17," - ")</f>
        <v>199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24</v>
      </c>
      <c r="D23" s="1148">
        <f>SUBTOTAL(9,D16:D22)</f>
        <v>199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282</v>
      </c>
      <c r="C31" s="1089">
        <f>SUBTOTAL(9,C8:C30)</f>
        <v>193</v>
      </c>
      <c r="D31" s="1090">
        <f>SUBTOTAL(9,D8:D30)</f>
        <v>6224</v>
      </c>
    </row>
    <row r="32" spans="1:4" ht="7.5" customHeight="1"/>
    <row r="33" spans="1:1" ht="6" customHeight="1"/>
    <row r="34" spans="1:1">
      <c r="A34" s="439" t="str">
        <f>Criterios!A4</f>
        <v>Fecha Informe: 05 may. 2023</v>
      </c>
    </row>
    <row r="39" spans="1:1">
      <c r="A39" s="462"/>
    </row>
  </sheetData>
  <sheetProtection algorithmName="SHA-512" hashValue="f1rMuEqw+1ACEtwWP22GvBpzmYjmEwyMivsyDwj7Wlu/WfJJ8iiJcyO5Og1vDS+5v60zmsLEyeXtwQiblgmAzg==" saltValue="zfSIVuptNpQqKH5WlKM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VILLAJOYOSA-VILA JOIOSA, 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0.04</v>
      </c>
      <c r="C10" s="515">
        <f>IF(ISNUMBER((Datos!J10-Datos!T10)/Datos!T10),(Datos!J10-Datos!T10)/Datos!T10," - ")</f>
        <v>-0.6</v>
      </c>
      <c r="D10" s="515">
        <f>IF(ISNUMBER((Datos!K10-Datos!U10)/Datos!U10),(Datos!K10-Datos!U10)/Datos!U10," - ")</f>
        <v>-0.16666666666666666</v>
      </c>
      <c r="E10" s="515">
        <f>IF(ISNUMBER((Datos!L10-Datos!V10)/Datos!V10),(Datos!L10-Datos!V10)/Datos!V10," - ")</f>
        <v>0</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1.0833333333333335</v>
      </c>
      <c r="I10" s="515">
        <f>IF(ISNUMBER(((NºAsuntos!I10/NºAsuntos!G10)-Datos!BE10)/Datos!BE10),((NºAsuntos!I10/NºAsuntos!G10)-Datos!BE10)/Datos!BE10," - ")</f>
        <v>0.20000000000000018</v>
      </c>
      <c r="J10" s="521">
        <f>IF(ISNUMBER((('Resol  Asuntos'!D10/NºAsuntos!G10)-Datos!BF10)/Datos!BF10),(('Resol  Asuntos'!D10/NºAsuntos!G10)-Datos!BF10)/Datos!BF10," - ")</f>
        <v>-0.8</v>
      </c>
      <c r="K10" s="522">
        <f>IF(ISNUMBER((((NºAsuntos!C10+NºAsuntos!E10)/NºAsuntos!G10)-Datos!BG10)/Datos!BG10),(((NºAsuntos!C10+NºAsuntos!E10)/NºAsuntos!G10)-Datos!BG10)/Datos!BG10," - ")</f>
        <v>0.17818181818181833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0.14685714285714285</v>
      </c>
      <c r="C12" s="515">
        <f>IF(ISNUMBER(
   IF(J_V="SI",(Datos!J12-Datos!T12)/Datos!T12,(Datos!J12+Datos!Z12-(Datos!T12+Datos!AH12))/(Datos!T12+Datos!AH12))
     ),IF(J_V="SI",(Datos!J12-Datos!T12)/Datos!T12,(Datos!J12+Datos!Z12-(Datos!T12+Datos!AH12))/(Datos!T12+Datos!AH12))," - ")</f>
        <v>0.10848549946294307</v>
      </c>
      <c r="D12" s="515">
        <f>IF(ISNUMBER(
   IF(J_V="SI",(Datos!K12-Datos!U12)/Datos!U12,(Datos!K12+Datos!AA12-(Datos!U12+Datos!AI12))/(Datos!U12+Datos!AI12))
     ),IF(J_V="SI",(Datos!K12-Datos!U12)/Datos!U12,(Datos!K12+Datos!AA12-(Datos!U12+Datos!AI12))/(Datos!U12+Datos!AI12))," - ")</f>
        <v>0.43956043956043955</v>
      </c>
      <c r="E12" s="515">
        <f>IF(ISNUMBER(
   IF(J_V="SI",(Datos!L12-Datos!V12)/Datos!V12,(Datos!L12+Datos!AB12-(Datos!V12+Datos!AJ12))/(Datos!V12+Datos!AJ12))
     ),IF(J_V="SI",(Datos!L12-Datos!V12)/Datos!V12,(Datos!L12+Datos!AB12-(Datos!V12+Datos!AJ12))/(Datos!V12+Datos!AJ12))," - ")</f>
        <v>0.12772413793103449</v>
      </c>
      <c r="F12" s="515">
        <f>IF(ISNUMBER((Datos!M12-Datos!W12)/Datos!W12),(Datos!M12-Datos!W12)/Datos!W12," - ")</f>
        <v>0.10674157303370786</v>
      </c>
      <c r="G12" s="516">
        <f>IF(ISNUMBER((Datos!N12-Datos!X12)/Datos!X12),(Datos!N12-Datos!X12)/Datos!X12," - ")</f>
        <v>0.23655913978494625</v>
      </c>
      <c r="H12" s="514">
        <f>IF(ISNUMBER(((NºAsuntos!G12/NºAsuntos!E12)-Datos!BD12)/Datos!BD12),((NºAsuntos!G12/NºAsuntos!E12)-Datos!BD12)/Datos!BD12," - ")</f>
        <v>0.29867322599880741</v>
      </c>
      <c r="I12" s="515">
        <f>IF(ISNUMBER(((NºAsuntos!I12/NºAsuntos!G12)-Datos!BE12)/Datos!BE12),((NºAsuntos!I12/NºAsuntos!G12)-Datos!BE12)/Datos!BE12," - ")</f>
        <v>-0.21661911029218212</v>
      </c>
      <c r="J12" s="521">
        <f>IF(ISNUMBER((('Resol  Asuntos'!D12/NºAsuntos!G12)-Datos!BF12)/Datos!BF12),(('Resol  Asuntos'!D12/NºAsuntos!G12)-Datos!BF12)/Datos!BF12," - ")</f>
        <v>-0.50950778407069952</v>
      </c>
      <c r="K12" s="522">
        <f>IF(ISNUMBER((((NºAsuntos!C12+NºAsuntos!E12)/NºAsuntos!G12)-Datos!BG12)/Datos!BG12),(((NºAsuntos!C12+NºAsuntos!E12)/NºAsuntos!G12)-Datos!BG12)/Datos!BG12," - ")</f>
        <v>-0.20892876524004195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0.14535211267605633</v>
      </c>
      <c r="C14" s="1152">
        <f>IF(ISNUMBER(
   IF(J_V="SI",(Datos!J14-Datos!T14)/Datos!T14,(Datos!J14+Datos!Z14-(Datos!T14+Datos!AH14))/(Datos!T14+Datos!AH14))
     ),IF(J_V="SI",(Datos!J14-Datos!T14)/Datos!T14,(Datos!J14+Datos!Z14-(Datos!T14+Datos!AH14))/(Datos!T14+Datos!AH14))," - ")</f>
        <v>0.1047008547008547</v>
      </c>
      <c r="D14" s="1152">
        <f>IF(ISNUMBER(
   IF(J_V="SI",(Datos!K14-Datos!U14)/Datos!U14,(Datos!K14+Datos!AA14-(Datos!U14+Datos!AI14))/(Datos!U14+Datos!AI14))
     ),IF(J_V="SI",(Datos!K14-Datos!U14)/Datos!U14,(Datos!K14+Datos!AA14-(Datos!U14+Datos!AI14))/(Datos!U14+Datos!AI14))," - ")</f>
        <v>0.43390357698289267</v>
      </c>
      <c r="E14" s="1152">
        <f>IF(ISNUMBER(
   IF(J_V="SI",(Datos!L14-Datos!V14)/Datos!V14,(Datos!L14+Datos!AB14-(Datos!V14+Datos!AJ14))/(Datos!V14+Datos!AJ14))
     ),IF(J_V="SI",(Datos!L14-Datos!V14)/Datos!V14,(Datos!L14+Datos!AB14-(Datos!V14+Datos!AJ14))/(Datos!V14+Datos!AJ14))," - ")</f>
        <v>0.12602068590092541</v>
      </c>
      <c r="F14" s="1153">
        <f>IF(ISNUMBER((Datos!M14-Datos!W14)/Datos!W14),(Datos!M14-Datos!W14)/Datos!W14," - ")</f>
        <v>7.6086956521739135E-2</v>
      </c>
      <c r="G14" s="1154">
        <f>IF(ISNUMBER((Datos!N14-Datos!X14)/Datos!X14),(Datos!N14-Datos!X14)/Datos!X14," - ")</f>
        <v>0.25089605734767023</v>
      </c>
      <c r="H14" s="1154">
        <f>IF(ISNUMBER(((NºAsuntos!G14/NºAsuntos!E14)-Datos!BD14)/Datos!BD14),((NºAsuntos!G14/NºAsuntos!E14)-Datos!BD14)/Datos!BD14," - ")</f>
        <v>0.29800169057639031</v>
      </c>
      <c r="I14" s="1154">
        <f>IF(ISNUMBER(((NºAsuntos!I14/NºAsuntos!G14)-Datos!BE14)/Datos!BE14),((NºAsuntos!I14/NºAsuntos!G14)-Datos!BE14)/Datos!BE14," - ")</f>
        <v>-0.21471659323829162</v>
      </c>
      <c r="J14" s="1154">
        <f>IF(ISNUMBER((('Resol  Asuntos'!D14/NºAsuntos!G14)-Datos!BF14)/Datos!BF14),(('Resol  Asuntos'!D14/NºAsuntos!G14)-Datos!BF14)/Datos!BF14," - ")</f>
        <v>-0.51549263614567875</v>
      </c>
      <c r="K14" s="1154">
        <f>IF(ISNUMBER((((NºAsuntos!C14+NºAsuntos!E14)/NºAsuntos!G14)-Datos!BG14)/Datos!BG14),(((NºAsuntos!C14+NºAsuntos!E14)/NºAsuntos!G14)-Datos!BG14)/Datos!BG14," - ")</f>
        <v>-0.20715013108992736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-0.14996342355523043</v>
      </c>
      <c r="C17" s="515">
        <f>IF(ISNUMBER(
   IF(D_I="SI",(Datos!J17-Datos!T17)/Datos!T17,(Datos!J17+Datos!AD17-(Datos!T17+Datos!AL17))/(Datos!T17+Datos!AL17))
     ),IF(D_I="SI",(Datos!J17-Datos!T17)/Datos!T17,(Datos!J17+Datos!AD17-(Datos!T17+Datos!AL17))/(Datos!T17+Datos!AL17))," - ")</f>
        <v>0.37057728119180633</v>
      </c>
      <c r="D17" s="515">
        <f>IF(ISNUMBER(
   IF(D_I="SI",(Datos!K17-Datos!U17)/Datos!U17,(Datos!K17+Datos!AE17-(Datos!U17+Datos!AM17))/(Datos!U17+Datos!AM17))
     ),IF(D_I="SI",(Datos!K17-Datos!U17)/Datos!U17,(Datos!K17+Datos!AE17-(Datos!U17+Datos!AM17))/(Datos!U17+Datos!AM17))," - ")</f>
        <v>0.44343065693430656</v>
      </c>
      <c r="E17" s="515">
        <f>IF(ISNUMBER(
   IF(D_I="SI",(Datos!L17-Datos!V17)/Datos!V17,(Datos!L17+Datos!AF17-(Datos!V17+Datos!AN17))/(Datos!V17+Datos!AN17))
     ),IF(D_I="SI",(Datos!L17-Datos!V17)/Datos!V17,(Datos!L17+Datos!AF17-(Datos!V17+Datos!AN17))/(Datos!V17+Datos!AN17))," - ")</f>
        <v>-0.18335787923416788</v>
      </c>
      <c r="F17" s="515">
        <f>IF(ISNUMBER((Datos!M17-Datos!W17)/Datos!W17),(Datos!M17-Datos!W17)/Datos!W17," - ")</f>
        <v>-0.248</v>
      </c>
      <c r="G17" s="516">
        <f>IF(ISNUMBER((Datos!N17-Datos!X17)/Datos!X17),(Datos!N17-Datos!X17)/Datos!X17," - ")</f>
        <v>0.66006600660066006</v>
      </c>
      <c r="H17" s="514">
        <f>IF(ISNUMBER(((NºAsuntos!G17/NºAsuntos!E17)-Datos!BD17)/Datos!BD17),((NºAsuntos!G17/NºAsuntos!E17)-Datos!BD17)/Datos!BD17," - ")</f>
        <v>5.3155248333862204E-2</v>
      </c>
      <c r="I17" s="515">
        <f>IF(ISNUMBER(((NºAsuntos!I17/NºAsuntos!G17)-Datos!BE17)/Datos!BE17),((NºAsuntos!I17/NºAsuntos!G17)-Datos!BE17)/Datos!BE17," - ")</f>
        <v>-0.43423529433669278</v>
      </c>
      <c r="J17" s="521">
        <f>IF(ISNUMBER((('Resol  Asuntos'!D17/NºAsuntos!G17)-Datos!BF17)/Datos!BF17),(('Resol  Asuntos'!D17/NºAsuntos!G17)-Datos!BF17)/Datos!BF17," - ")</f>
        <v>-0.47901896333754745</v>
      </c>
      <c r="K17" s="522">
        <f>IF(ISNUMBER((((NºAsuntos!C17+NºAsuntos!E17)/NºAsuntos!G17)-Datos!BG17)/Datos!BG17),(((NºAsuntos!C17+NºAsuntos!E17)/NºAsuntos!G17)-Datos!BG17)/Datos!BG17," - ")</f>
        <v>-0.30938924242263277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1.0918367346938775</v>
      </c>
      <c r="C18" s="515">
        <f>IF(ISNUMBER(
   IF(D_I="SI",(Datos!J18-Datos!T18)/Datos!T18,(Datos!J18+Datos!AD18-(Datos!T18+Datos!AL18))/(Datos!T18+Datos!AL18))
     ),IF(D_I="SI",(Datos!J18-Datos!T18)/Datos!T18,(Datos!J18+Datos!AD18-(Datos!T18+Datos!AL18))/(Datos!T18+Datos!AL18))," - ")</f>
        <v>5.7692307692307696E-2</v>
      </c>
      <c r="D18" s="515">
        <f>IF(ISNUMBER(
   IF(D_I="SI",(Datos!K18-Datos!U18)/Datos!U18,(Datos!K18+Datos!AE18-(Datos!U18+Datos!AM18))/(Datos!U18+Datos!AM18))
     ),IF(D_I="SI",(Datos!K18-Datos!U18)/Datos!U18,(Datos!K18+Datos!AE18-(Datos!U18+Datos!AM18))/(Datos!U18+Datos!AM18))," - ")</f>
        <v>-0.21</v>
      </c>
      <c r="E18" s="515">
        <f>IF(ISNUMBER(
   IF(D_I="SI",(Datos!L18-Datos!V18)/Datos!V18,(Datos!L18+Datos!AF18-(Datos!V18+Datos!AN18))/(Datos!V18+Datos!AN18))
     ),IF(D_I="SI",(Datos!L18-Datos!V18)/Datos!V18,(Datos!L18+Datos!AF18-(Datos!V18+Datos!AN18))/(Datos!V18+Datos!AN18))," - ")</f>
        <v>1.3106796116504855</v>
      </c>
      <c r="F18" s="515">
        <f>IF(ISNUMBER((Datos!M18-Datos!W18)/Datos!W18),(Datos!M18-Datos!W18)/Datos!W18," - ")</f>
        <v>-0.23076923076923078</v>
      </c>
      <c r="G18" s="516">
        <f>IF(ISNUMBER((Datos!N18-Datos!X18)/Datos!X18),(Datos!N18-Datos!X18)/Datos!X18," - ")</f>
        <v>-3.9215686274509803E-2</v>
      </c>
      <c r="H18" s="514">
        <f>IF(ISNUMBER(((NºAsuntos!G18/NºAsuntos!E18)-Datos!BD18)/Datos!BD18),((NºAsuntos!G18/NºAsuntos!E18)-Datos!BD18)/Datos!BD18," - ")</f>
        <v>-0.25309090909090914</v>
      </c>
      <c r="I18" s="515">
        <f>IF(ISNUMBER(((NºAsuntos!I18/NºAsuntos!G18)-Datos!BE18)/Datos!BE18),((NºAsuntos!I18/NºAsuntos!G18)-Datos!BE18)/Datos!BE18," - ")</f>
        <v>1.9249109008233993</v>
      </c>
      <c r="J18" s="521">
        <f>IF(ISNUMBER((('Resol  Asuntos'!D18/NºAsuntos!G18)-Datos!BF18)/Datos!BF18),(('Resol  Asuntos'!D18/NºAsuntos!G18)-Datos!BF18)/Datos!BF18," - ")</f>
        <v>-2.6290165530671827E-2</v>
      </c>
      <c r="K18" s="522">
        <f>IF(ISNUMBER((((NºAsuntos!C18+NºAsuntos!E18)/NºAsuntos!G18)-Datos!BG18)/Datos!BG18),(((NºAsuntos!C18+NºAsuntos!E18)/NºAsuntos!G18)-Datos!BG18)/Datos!BG18," - ")</f>
        <v>0.973931570372227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-6.6894197952218432E-2</v>
      </c>
      <c r="C23" s="1152">
        <f>IF(ISNUMBER(
   IF(Criterios!B14="SI",(Datos!J23-Datos!T23)/Datos!T23,(Datos!J23+Datos!AD23-(Datos!T23+Datos!AL23))/(Datos!T23+Datos!AL23))
     ),IF(Criterios!B14="SI",(Datos!J23-Datos!T23)/Datos!T23,(Datos!J23+Datos!AD23-(Datos!T23+Datos!AL23))/(Datos!T23+Datos!AL23))," - ")</f>
        <v>0.31981279251170047</v>
      </c>
      <c r="D23" s="1152">
        <f>IF(ISNUMBER(
   IF(Criterios!B14="SI",(Datos!K23-Datos!U23)/Datos!U23,(Datos!K23+Datos!AE23-(Datos!U23+Datos!AM23))/(Datos!U23+Datos!AM23))
     ),IF(Criterios!B14="SI",(Datos!K23-Datos!U23)/Datos!U23,(Datos!K23+Datos!AE23-(Datos!U23+Datos!AM23))/(Datos!U23+Datos!AM23))," - ")</f>
        <v>0.34259259259259262</v>
      </c>
      <c r="E23" s="1152">
        <f>IF(ISNUMBER(
   IF(Criterios!B14="SI",(Datos!L23-Datos!V23)/Datos!V23,(Datos!L23+Datos!AF23-(Datos!V23+Datos!AN23))/(Datos!V23+Datos!AN23))
     ),IF(Criterios!B14="SI",(Datos!L23-Datos!V23)/Datos!V23,(Datos!L23+Datos!AF23-(Datos!V23+Datos!AN23))/(Datos!V23+Datos!AN23))," - ")</f>
        <v>-7.8028747433264892E-2</v>
      </c>
      <c r="F23" s="1153">
        <f>IF(ISNUMBER((Datos!M23-Datos!W23)/Datos!W23),(Datos!M23-Datos!W23)/Datos!W23," - ")</f>
        <v>-0.24637681159420291</v>
      </c>
      <c r="G23" s="1154">
        <f>IF(ISNUMBER((Datos!N23-Datos!X23)/Datos!X23),(Datos!N23-Datos!X23)/Datos!X23," - ")</f>
        <v>0.55932203389830504</v>
      </c>
      <c r="H23" s="1154">
        <f>IF(ISNUMBER(((NºAsuntos!G23/NºAsuntos!E23)-Datos!BD23)/Datos!BD23),((NºAsuntos!G23/NºAsuntos!E23)-Datos!BD23)/Datos!BD23," - ")</f>
        <v>1.7259872165309578E-2</v>
      </c>
      <c r="I23" s="1154">
        <f>IF(ISNUMBER(((NºAsuntos!I23/NºAsuntos!G23)-Datos!BE23)/Datos!BE23),((NºAsuntos!I23/NºAsuntos!G23)-Datos!BE23)/Datos!BE23," - ")</f>
        <v>-0.31329037739856969</v>
      </c>
      <c r="J23" s="1154">
        <f>IF(ISNUMBER((('Resol  Asuntos'!D23/NºAsuntos!G23)-Datos!BF23)/Datos!BF23),(('Resol  Asuntos'!D23/NºAsuntos!G23)-Datos!BF23)/Datos!BF23," - ")</f>
        <v>-0.43868065967016495</v>
      </c>
      <c r="K23" s="1154">
        <f>IF(ISNUMBER((((NºAsuntos!C23+NºAsuntos!E23)/NºAsuntos!G23)-Datos!BG23)/Datos!BG23),(((NºAsuntos!C23+NºAsuntos!E23)/NºAsuntos!G23)-Datos!BG23)/Datos!BG23," - ")</f>
        <v>-0.21732979664014146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8.334995014955135E-2</v>
      </c>
      <c r="C31" s="1092">
        <f>IF(ISNUMBER(
   IF(J_V="SI",(Datos!J31-Datos!T31)/Datos!T31,(Datos!J31+Datos!Z31-(Datos!T31+Datos!AH31))/(Datos!T31+Datos!AH31))
     ),IF(J_V="SI",(Datos!J31-Datos!T31)/Datos!T31,(Datos!J31+Datos!Z31-(Datos!T31+Datos!AH31))/(Datos!T31+Datos!AH31))," - ")</f>
        <v>0.19213696892834495</v>
      </c>
      <c r="D31" s="1092">
        <f>IF(ISNUMBER(
   IF(J_V="SI",(Datos!K31-Datos!U31)/Datos!U31,(Datos!K31+Datos!AA31-(Datos!U31+Datos!AI31))/(Datos!U31+Datos!AI31))
     ),IF(J_V="SI",(Datos!K31-Datos!U31)/Datos!U31,(Datos!K31+Datos!AA31-(Datos!U31+Datos!AI31))/(Datos!U31+Datos!AI31))," - ")</f>
        <v>0.38807126258714175</v>
      </c>
      <c r="E31" s="1092">
        <f>IF(ISNUMBER(
   IF(J_V="SI",(Datos!L31-Datos!V31)/Datos!V31,(Datos!L31+Datos!AB31-(Datos!V31+Datos!AJ31))/(Datos!V31+Datos!AJ31))
     ),IF(J_V="SI",(Datos!L31-Datos!V31)/Datos!V31,(Datos!L31+Datos!AB31-(Datos!V31+Datos!AJ31))/(Datos!V31+Datos!AJ31))," - ")</f>
        <v>6.7964946445959101E-2</v>
      </c>
      <c r="F31" s="1093">
        <f>IF(ISNUMBER((Datos!M31-Datos!W31)/Datos!W31),(Datos!M31-Datos!W31)/Datos!W31," - ")</f>
        <v>-6.2111801242236024E-2</v>
      </c>
      <c r="G31" s="1094">
        <f>IF(ISNUMBER((Datos!N31-Datos!X31)/Datos!X31),(Datos!N31-Datos!X31)/Datos!X31," - ")</f>
        <v>0.42338072669826227</v>
      </c>
      <c r="H31" s="1095">
        <f>IF(ISNUMBER((Tasas!B31-Datos!BD31)/Datos!BD31),(Tasas!B31-Datos!BD31)/Datos!BD31," - ")</f>
        <v>0.16435552186166094</v>
      </c>
      <c r="I31" s="1096">
        <f>IF(ISNUMBER((Tasas!C31-Datos!BE31)/Datos!BE31),(Tasas!C31-Datos!BE31)/Datos!BE31," - ")</f>
        <v>-0.23061230699680063</v>
      </c>
      <c r="J31" s="1097">
        <f>IF(ISNUMBER((Tasas!D31-Datos!BF31)/Datos!BF31),(Tasas!D31-Datos!BF31)/Datos!BF31," - ")</f>
        <v>-0.48565465636609251</v>
      </c>
      <c r="K31" s="1097">
        <f>IF(ISNUMBER((Tasas!E31-Datos!BG31)/Datos!BG31),(Tasas!E31-Datos!BG31)/Datos!BG31," - ")</f>
        <v>-0.20077950613839279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PZNg3Wq0ZTWoi8RYDVZfJKLv1OIlKNiDJv2A5xWfwt7b9/rw4mj8ZkoKMqKAdYrGRCSr1h0QVdFH2PhKISMuw==" saltValue="+x2GI2fKseSL69PBuyAZ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VILLAJOYOSA-VILA JOIOSA, 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9.8000000000000007</v>
      </c>
      <c r="D10" s="499">
        <f>IF(ISNUMBER('Resol  Asuntos'!D10/NºAsuntos!G10),'Resol  Asuntos'!D10/NºAsuntos!G10," - ")</f>
        <v>0.2</v>
      </c>
      <c r="E10" s="500">
        <f>IF(ISNUMBER((NºAsuntos!C10+NºAsuntos!E10)/NºAsuntos!G10),(NºAsuntos!C10+NºAsuntos!E10)/NºAsuntos!G10," - ")</f>
        <v>10.8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0.88856589147286824</v>
      </c>
      <c r="C12" s="498">
        <f>IF(ISNUMBER(NºAsuntos!I12/NºAsuntos!G12),NºAsuntos!I12/NºAsuntos!G12," - ")</f>
        <v>4.4580152671755728</v>
      </c>
      <c r="D12" s="499">
        <f>IF(ISNUMBER('Resol  Asuntos'!D12/NºAsuntos!G12),'Resol  Asuntos'!D12/NºAsuntos!G12," - ")</f>
        <v>0.2148309705561614</v>
      </c>
      <c r="E12" s="500">
        <f>IF(ISNUMBER((NºAsuntos!C12+NºAsuntos!E12)/NºAsuntos!G12),(NºAsuntos!C12+NºAsuntos!E12)/NºAsuntos!G12," - ")</f>
        <v>5.5027262813522357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0.8916827852998066</v>
      </c>
      <c r="C14" s="1156">
        <f>IF(ISNUMBER(NºAsuntos!I14/NºAsuntos!G14),NºAsuntos!I14/NºAsuntos!G14," - ")</f>
        <v>4.4869848156182215</v>
      </c>
      <c r="D14" s="1157">
        <f>IF(ISNUMBER('Resol  Asuntos'!D14/NºAsuntos!G14),'Resol  Asuntos'!D14/NºAsuntos!G14," - ")</f>
        <v>0.21475054229934923</v>
      </c>
      <c r="E14" s="1158">
        <f>IF(ISNUMBER((NºAsuntos!C14+NºAsuntos!E14)/NºAsuntos!G14),(NºAsuntos!C14+NºAsuntos!E14)/NºAsuntos!G14," - ")</f>
        <v>5.5314533622559656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1.0747282608695652</v>
      </c>
      <c r="C17" s="498">
        <f>IF(ISNUMBER(NºAsuntos!I17/NºAsuntos!G17),NºAsuntos!I17/NºAsuntos!G17," - ")</f>
        <v>1.4020227560050569</v>
      </c>
      <c r="D17" s="499">
        <f>IF(ISNUMBER('Resol  Asuntos'!D17/NºAsuntos!G17),'Resol  Asuntos'!D17/NºAsuntos!G17," - ")</f>
        <v>0.11883691529709228</v>
      </c>
      <c r="E17" s="500">
        <f>IF(ISNUMBER((NºAsuntos!C17+NºAsuntos!E17)/NºAsuntos!G17),(NºAsuntos!C17+NºAsuntos!E17)/NºAsuntos!G17," - ")</f>
        <v>2.3994943109987359</v>
      </c>
      <c r="G17" s="523"/>
    </row>
    <row r="18" spans="1:7">
      <c r="A18" s="450" t="str">
        <f>Datos!A18</f>
        <v>Jdos. Violencia contra la mujer</v>
      </c>
      <c r="B18" s="497">
        <f>IF(ISNUMBER(NºAsuntos!G18/NºAsuntos!E18),NºAsuntos!G18/NºAsuntos!E18," - ")</f>
        <v>0.71818181818181814</v>
      </c>
      <c r="C18" s="498">
        <f>IF(ISNUMBER(NºAsuntos!I18/NºAsuntos!G18),NºAsuntos!I18/NºAsuntos!G18," - ")</f>
        <v>3.0126582278481013</v>
      </c>
      <c r="D18" s="499">
        <f>IF(ISNUMBER('Resol  Asuntos'!D18/NºAsuntos!G18),'Resol  Asuntos'!D18/NºAsuntos!G18," - ")</f>
        <v>0.12658227848101267</v>
      </c>
      <c r="E18" s="500">
        <f>IF(ISNUMBER((NºAsuntos!C18+NºAsuntos!E18)/NºAsuntos!G18),(NºAsuntos!C18+NºAsuntos!E18)/NºAsuntos!G18," - ")</f>
        <v>3.9873417721518987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1.0283687943262412</v>
      </c>
      <c r="C23" s="1156">
        <f>IF(ISNUMBER(NºAsuntos!I23/NºAsuntos!G23),NºAsuntos!I23/NºAsuntos!G23," - ")</f>
        <v>1.5482758620689656</v>
      </c>
      <c r="D23" s="1159">
        <f>IF(ISNUMBER('Resol  Asuntos'!D23/NºAsuntos!G23),'Resol  Asuntos'!D23/NºAsuntos!G23," - ")</f>
        <v>0.11954022988505747</v>
      </c>
      <c r="E23" s="1158">
        <f>IF(ISNUMBER((NºAsuntos!C23+NºAsuntos!E23)/NºAsuntos!G23),(NºAsuntos!C23+NºAsuntos!E23)/NºAsuntos!G23," - ")</f>
        <v>2.5436781609195402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0.95319148936170217</v>
      </c>
      <c r="C31" s="1099">
        <f>IF(ISNUMBER(NºAsuntos!I31/NºAsuntos!G31),NºAsuntos!I31/NºAsuntos!G31," - ")</f>
        <v>3.0602678571428572</v>
      </c>
      <c r="D31" s="1100">
        <f>IF(ISNUMBER('Resol  Asuntos'!D31/NºAsuntos!G31),'Resol  Asuntos'!D31/NºAsuntos!G31," - ")</f>
        <v>0.16852678571428573</v>
      </c>
      <c r="E31" s="1101">
        <f>IF(ISNUMBER((NºAsuntos!C31+NºAsuntos!E31)/NºAsuntos!G31),(NºAsuntos!C31+NºAsuntos!E31)/NºAsuntos!G31," - ")</f>
        <v>4.0809151785714288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CFtzJO6bwnkXITvsn4H1JqDOgv6aSuYGwy+v9/QOjvSnPsE7Bln89ziXsIr8ra7LN97JOksx0Yq+ZO8AVq+FA==" saltValue="lBRgz1D+LRHtKX6+cqf2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VILLAJOYOSA-VILA JOIOSA, 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49</v>
      </c>
      <c r="AB10" s="374">
        <f>IF(ISNUMBER(Datos!R10),Datos!R10," - ")</f>
        <v>1</v>
      </c>
      <c r="AC10" s="374">
        <f t="shared" ref="AC10:AC13" si="1">IF(ISNUMBER(AA10+AB10),AA10+AB10," - ")</f>
        <v>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29.400000000000006</v>
      </c>
      <c r="AN10" s="267">
        <f>IF(ISNUMBER('Resol  Asuntos'!D10/NºAsuntos!G10),'Resol  Asuntos'!D10/NºAsuntos!G10," - ")</f>
        <v>0.2</v>
      </c>
      <c r="AO10" s="268">
        <f>IF(ISNUMBER((NºAsuntos!C10+NºAsuntos!E10)/NºAsuntos!G10),(NºAsuntos!C10+NºAsuntos!E10)/NºAsuntos!G10," - ")</f>
        <v>10.8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169</v>
      </c>
      <c r="Y12" s="374">
        <f t="shared" si="0"/>
        <v>169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6024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0.88856589147286824</v>
      </c>
      <c r="AM12" s="284">
        <f>IF(ISNUMBER(((NºAsuntos!I12/NºAsuntos!G12)*11)/factor_trimestre),((NºAsuntos!I12/NºAsuntos!G12)*11)/factor_trimestre," - ")</f>
        <v>13.374045801526719</v>
      </c>
      <c r="AN12" s="267">
        <f>IF(ISNUMBER('Resol  Asuntos'!D12/NºAsuntos!G12),'Resol  Asuntos'!D12/NºAsuntos!G12," - ")</f>
        <v>0.2148309705561614</v>
      </c>
      <c r="AO12" s="268">
        <f>IF(ISNUMBER((NºAsuntos!C12+NºAsuntos!E12)/NºAsuntos!G12),(NºAsuntos!C12+NºAsuntos!E12)/NºAsuntos!G12," - ")</f>
        <v>5.5027262813522357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52</v>
      </c>
      <c r="G14" s="1163">
        <f t="shared" si="5"/>
        <v>52</v>
      </c>
      <c r="H14" s="1162">
        <f t="shared" si="5"/>
        <v>0</v>
      </c>
      <c r="I14" s="1164">
        <f t="shared" si="5"/>
        <v>0</v>
      </c>
      <c r="J14" s="1164">
        <f t="shared" si="5"/>
        <v>0</v>
      </c>
      <c r="K14" s="1164">
        <f t="shared" si="5"/>
        <v>0</v>
      </c>
      <c r="L14" s="1164">
        <f t="shared" si="5"/>
        <v>231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169</v>
      </c>
      <c r="Y14" s="1165">
        <f t="shared" si="6"/>
        <v>174</v>
      </c>
      <c r="Z14" s="1165">
        <f t="shared" si="6"/>
        <v>0</v>
      </c>
      <c r="AA14" s="1165">
        <f t="shared" si="6"/>
        <v>49</v>
      </c>
      <c r="AB14" s="1165">
        <f t="shared" si="6"/>
        <v>6025</v>
      </c>
      <c r="AC14" s="1165">
        <f t="shared" si="6"/>
        <v>50</v>
      </c>
      <c r="AD14" s="1165">
        <f t="shared" si="6"/>
        <v>0</v>
      </c>
      <c r="AE14" s="1169">
        <f t="shared" si="6"/>
        <v>0</v>
      </c>
      <c r="AF14" s="1162">
        <f t="shared" si="6"/>
        <v>0</v>
      </c>
      <c r="AG14" s="1170">
        <f t="shared" si="6"/>
        <v>0</v>
      </c>
      <c r="AH14" s="1167">
        <f t="shared" si="6"/>
        <v>0</v>
      </c>
      <c r="AI14" s="1162">
        <f t="shared" si="6"/>
        <v>198</v>
      </c>
      <c r="AJ14" s="1164">
        <f t="shared" si="6"/>
        <v>0</v>
      </c>
      <c r="AK14" s="1167">
        <f>SUBTOTAL(9,AK9:AK13)</f>
        <v>0</v>
      </c>
      <c r="AL14" s="1171">
        <f>IF(ISNUMBER(NºAsuntos!G14/NºAsuntos!E14),NºAsuntos!G14/NºAsuntos!E14," - ")</f>
        <v>0.8916827852998066</v>
      </c>
      <c r="AM14" s="1171">
        <f>IF(ISNUMBER(((NºAsuntos!I14/NºAsuntos!G14)*11)/factor_trimestre),((NºAsuntos!I14/NºAsuntos!G14)*11)/factor_trimestre," - ")</f>
        <v>13.460954446854664</v>
      </c>
      <c r="AN14" s="1172">
        <f>IF(ISNUMBER('Resol  Asuntos'!D14/NºAsuntos!G14),'Resol  Asuntos'!D14/NºAsuntos!G14," - ")</f>
        <v>0.21475054229934923</v>
      </c>
      <c r="AO14" s="1173">
        <f>IF(ISNUMBER((NºAsuntos!C14+NºAsuntos!E14)/NºAsuntos!G14),(NºAsuntos!C14+NºAsuntos!E14)/NºAsuntos!G14," - ")</f>
        <v>5.5314533622559656</v>
      </c>
      <c r="AP14" s="1174" t="str">
        <f t="shared" si="2"/>
        <v xml:space="preserve"> - </v>
      </c>
      <c r="AQ14" s="1174">
        <f>IF(ISNUMBER((H14-W14+K14)/(F14)),(H14-W14+K14)/(F14)," - ")</f>
        <v>-9.6153846153846159E-2</v>
      </c>
      <c r="AR14" s="1175">
        <f>IF(ISNUMBER((Datos!P14-Datos!Q14)/(Datos!R14-Datos!P14+Datos!Q14)),(Datos!P14-Datos!Q14)/(Datos!R14-Datos!P14+Datos!Q14)," - ")</f>
        <v>1.0397450947509643E-2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1164</v>
      </c>
      <c r="G17" s="373">
        <f>IF(ISNUMBER(IF(D_I="SI",Datos!I17,Datos!I17+Datos!AC17)),IF(D_I="SI",Datos!I17,Datos!I17+Datos!AC17)," - ")</f>
        <v>1162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791</v>
      </c>
      <c r="X17" s="240">
        <f>IF(ISNUMBER(Datos!Q17),Datos!Q17," - ")</f>
        <v>24</v>
      </c>
      <c r="Y17" s="374">
        <f t="shared" ref="Y17:Y22" si="9">SUM(W17:X17)</f>
        <v>815</v>
      </c>
      <c r="Z17" s="375" t="str">
        <f>IF(ISNUMBER(Datos!CC17),Datos!CC17," - ")</f>
        <v xml:space="preserve"> - </v>
      </c>
      <c r="AA17" s="372">
        <f>IF(ISNUMBER(IF(D_I="SI",Datos!L17,Datos!L17+Datos!AF17)),IF(D_I="SI",Datos!L17,Datos!L17+Datos!AF17)," - ")</f>
        <v>1109</v>
      </c>
      <c r="AB17" s="374">
        <f>IF(ISNUMBER(Datos!R17),Datos!R17," - ")</f>
        <v>199</v>
      </c>
      <c r="AC17" s="374">
        <f t="shared" si="8"/>
        <v>1308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94</v>
      </c>
      <c r="AJ17" s="245" t="str">
        <f>IF(ISNUMBER(Datos!BW17),Datos!BW17," - ")</f>
        <v xml:space="preserve"> - </v>
      </c>
      <c r="AK17" s="246" t="str">
        <f>IF(ISNUMBER(Datos!BX17),Datos!BX17," - ")</f>
        <v xml:space="preserve"> - </v>
      </c>
      <c r="AL17" s="266">
        <f>IF(ISNUMBER(NºAsuntos!G17/NºAsuntos!E17),NºAsuntos!G17/NºAsuntos!E17," - ")</f>
        <v>1.0747282608695652</v>
      </c>
      <c r="AM17" s="284">
        <f>IF(ISNUMBER(((NºAsuntos!I17/NºAsuntos!G17)*11)/factor_trimestre),((NºAsuntos!I17/NºAsuntos!G17)*11)/factor_trimestre," - ")</f>
        <v>4.2060682680151711</v>
      </c>
      <c r="AN17" s="267">
        <f>IF(ISNUMBER('Resol  Asuntos'!D17/NºAsuntos!G17),'Resol  Asuntos'!D17/NºAsuntos!G17," - ")</f>
        <v>0.11883691529709228</v>
      </c>
      <c r="AO17" s="268">
        <f>IF(ISNUMBER((NºAsuntos!C17+NºAsuntos!E17)/NºAsuntos!G17),(NºAsuntos!C17+NºAsuntos!E17)/NºAsuntos!G17," - ")</f>
        <v>2.3994943109987359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79</v>
      </c>
      <c r="X18" s="240">
        <f>IF(ISNUMBER(Datos!Q18),Datos!Q18," - ")</f>
        <v>0</v>
      </c>
      <c r="Y18" s="374">
        <f t="shared" si="9"/>
        <v>79</v>
      </c>
      <c r="Z18" s="375" t="str">
        <f>IF(ISNUMBER(Datos!CC18),Datos!CC18," - ")</f>
        <v xml:space="preserve"> - </v>
      </c>
      <c r="AA18" s="372">
        <f>IF(ISNUMBER(Datos!L18),Datos!L18,"-")</f>
        <v>238</v>
      </c>
      <c r="AB18" s="374">
        <f>IF(ISNUMBER(Datos!R18),Datos!R18," - ")</f>
        <v>0</v>
      </c>
      <c r="AC18" s="374">
        <f t="shared" si="8"/>
        <v>238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0.71818181818181814</v>
      </c>
      <c r="AM18" s="284">
        <f>IF(ISNUMBER(((NºAsuntos!I18/NºAsuntos!G18)*11)/factor_trimestre),((NºAsuntos!I18/NºAsuntos!G18)*11)/factor_trimestre," - ")</f>
        <v>9.037974683544304</v>
      </c>
      <c r="AN18" s="267">
        <f>IF(ISNUMBER('Resol  Asuntos'!D18/NºAsuntos!G18),'Resol  Asuntos'!D18/NºAsuntos!G18," - ")</f>
        <v>0.12658227848101267</v>
      </c>
      <c r="AO18" s="268">
        <f>IF(ISNUMBER((NºAsuntos!C18+NºAsuntos!E18)/NºAsuntos!G18),(NºAsuntos!C18+NºAsuntos!E18)/NºAsuntos!G18," - ")</f>
        <v>3.9873417721518987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1164</v>
      </c>
      <c r="G23" s="1163">
        <f>SUBTOTAL(9,G16:G22)</f>
        <v>1367</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870</v>
      </c>
      <c r="X23" s="1164">
        <f t="shared" si="14"/>
        <v>24</v>
      </c>
      <c r="Y23" s="1165">
        <f t="shared" si="14"/>
        <v>894</v>
      </c>
      <c r="Z23" s="1165">
        <f t="shared" si="14"/>
        <v>0</v>
      </c>
      <c r="AA23" s="1165">
        <f t="shared" si="14"/>
        <v>1347</v>
      </c>
      <c r="AB23" s="1165">
        <f t="shared" si="14"/>
        <v>199</v>
      </c>
      <c r="AC23" s="1165">
        <f t="shared" si="14"/>
        <v>1546</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1.0283687943262412</v>
      </c>
      <c r="AM23" s="1171">
        <f>IF(ISNUMBER(((NºAsuntos!I23/NºAsuntos!G23)*11)/factor_trimestre),((NºAsuntos!I23/NºAsuntos!G23)*11)/factor_trimestre," - ")</f>
        <v>4.6448275862068966</v>
      </c>
      <c r="AN23" s="1172">
        <f>IF(ISNUMBER('Resol  Asuntos'!D23/NºAsuntos!G23),'Resol  Asuntos'!D23/NºAsuntos!G23," - ")</f>
        <v>0.11954022988505747</v>
      </c>
      <c r="AO23" s="1173">
        <f>IF(ISNUMBER((NºAsuntos!C23+NºAsuntos!E23)/NºAsuntos!G23),(NºAsuntos!C23+NºAsuntos!E23)/NºAsuntos!G23," - ")</f>
        <v>2.5436781609195402</v>
      </c>
      <c r="AP23" s="1174" t="str">
        <f t="shared" si="2"/>
        <v xml:space="preserve"> - </v>
      </c>
      <c r="AQ23" s="1174">
        <f>IF(ISNUMBER((H23-W23+K23)/(F23)),(H23-W23+K23)/(F23)," - ")</f>
        <v>-0.74742268041237114</v>
      </c>
      <c r="AR23" s="1175">
        <f>IF(ISNUMBER((Datos!P23-Datos!Q23)/(Datos!R23-Datos!P23+Datos!Q23)),(Datos!P23-Datos!Q23)/(Datos!R23-Datos!P23+Datos!Q23)," - ")</f>
        <v>0.15697674418604651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1216</v>
      </c>
      <c r="G31" s="1118">
        <f t="shared" si="20"/>
        <v>1419</v>
      </c>
      <c r="H31" s="1117">
        <f t="shared" si="20"/>
        <v>0</v>
      </c>
      <c r="I31" s="1119">
        <f t="shared" si="20"/>
        <v>0</v>
      </c>
      <c r="J31" s="1119">
        <f t="shared" si="20"/>
        <v>0</v>
      </c>
      <c r="K31" s="1180">
        <f t="shared" si="20"/>
        <v>0</v>
      </c>
      <c r="L31" s="1119">
        <f t="shared" si="20"/>
        <v>282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875</v>
      </c>
      <c r="X31" s="1118">
        <f t="shared" si="21"/>
        <v>193</v>
      </c>
      <c r="Y31" s="1125">
        <f t="shared" si="21"/>
        <v>1068</v>
      </c>
      <c r="Z31" s="1125">
        <f t="shared" si="21"/>
        <v>0</v>
      </c>
      <c r="AA31" s="1125">
        <f t="shared" si="21"/>
        <v>1396</v>
      </c>
      <c r="AB31" s="1125">
        <f t="shared" si="21"/>
        <v>6224</v>
      </c>
      <c r="AC31" s="1125">
        <f t="shared" si="21"/>
        <v>1596</v>
      </c>
      <c r="AD31" s="1125">
        <f t="shared" si="21"/>
        <v>0</v>
      </c>
      <c r="AE31" s="1127">
        <f t="shared" si="21"/>
        <v>0</v>
      </c>
      <c r="AF31" s="1128">
        <f t="shared" si="21"/>
        <v>0</v>
      </c>
      <c r="AG31" s="1129">
        <f t="shared" si="21"/>
        <v>0</v>
      </c>
      <c r="AH31" s="1127">
        <f t="shared" si="21"/>
        <v>0</v>
      </c>
      <c r="AI31" s="1117">
        <f t="shared" si="21"/>
        <v>302</v>
      </c>
      <c r="AJ31" s="1117">
        <f t="shared" si="21"/>
        <v>0</v>
      </c>
      <c r="AK31" s="1127">
        <f t="shared" si="21"/>
        <v>0</v>
      </c>
      <c r="AL31" s="1183">
        <f>IF(ISNUMBER(NºAsuntos!G31/NºAsuntos!E31),NºAsuntos!G31/NºAsuntos!E31," - ")</f>
        <v>0.95319148936170217</v>
      </c>
      <c r="AM31" s="1184">
        <f>IF(ISNUMBER(((NºAsuntos!I31/NºAsuntos!G31)*11)/factor_trimestre),((NºAsuntos!I31/NºAsuntos!G31)*11)/factor_trimestre," - ")</f>
        <v>9.180803571428573</v>
      </c>
      <c r="AN31" s="1184">
        <f>IF(ISNUMBER('Resol  Asuntos'!D31/NºAsuntos!G31),'Resol  Asuntos'!D31/NºAsuntos!G31," - ")</f>
        <v>0.16852678571428573</v>
      </c>
      <c r="AO31" s="1185">
        <f>IF(ISNUMBER((NºAsuntos!C31+NºAsuntos!E31)/NºAsuntos!G31),(NºAsuntos!C31+NºAsuntos!E31)/NºAsuntos!G31," - ")</f>
        <v>4.0809151785714288</v>
      </c>
      <c r="AP31" s="1186" t="str">
        <f t="shared" si="2"/>
        <v xml:space="preserve"> - </v>
      </c>
      <c r="AQ31" s="1187">
        <f>IF(OR(ISNUMBER(FIND("01",Criterios!A8,1)),ISNUMBER(FIND("02",Criterios!A8,1)),ISNUMBER(FIND("03",Criterios!A8,1)),ISNUMBER(FIND("04",Criterios!A8,1))),(I31-W31+K31)/(F31-K31),(H31-W31+K31)/(F31-K31))</f>
        <v>-0.71957236842105265</v>
      </c>
      <c r="AR31" s="1188">
        <f>IF(ISNUMBER((Datos!P31-Datos!Q31)/(Datos!R31-Datos!P31+Datos!Q31)),(Datos!P31-Datos!Q31)/(Datos!R31-Datos!P31+Datos!Q31)," - ")</f>
        <v>1.4506927465362673E-2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588.12062254835678</v>
      </c>
      <c r="G33" s="277">
        <f>IF(ISNUMBER(STDEV(G8:G30)),STDEV(G8:G30),"-")</f>
        <v>593.82372725213588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398.1984429904266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86.324967419628948</v>
      </c>
      <c r="AJ33" s="276">
        <f t="shared" si="25"/>
        <v>0</v>
      </c>
      <c r="AK33" s="278">
        <f t="shared" si="25"/>
        <v>0</v>
      </c>
      <c r="AL33" s="273">
        <f t="shared" si="25"/>
        <v>0.65692215845121948</v>
      </c>
      <c r="AM33" s="274">
        <f t="shared" si="25"/>
        <v>9.2698232161772118</v>
      </c>
      <c r="AN33" s="274">
        <f t="shared" si="25"/>
        <v>4.8689522109941312E-2</v>
      </c>
      <c r="AO33" s="275">
        <f t="shared" si="25"/>
        <v>3.0951361984681705</v>
      </c>
      <c r="AP33" s="317" t="str">
        <f t="shared" si="25"/>
        <v>-</v>
      </c>
      <c r="AQ33" s="318">
        <f t="shared" si="25"/>
        <v>0.46051660907966069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rbx5/EbWlNxmWMnPEBYfEmdJTgDmhPJHtPrgh2zdDbiuVFZp5sLmmKaAynAqMa5wspYbz4yJQOpDF2YdESC3Q==" saltValue="6nkA/K121T4SGwXEIKi8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VILLAJOYOSA-VILA JOIOSA, 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0.04</v>
      </c>
      <c r="E10" s="393">
        <f>IF(ISNUMBER((Datos!J10-Datos!T10)/Datos!T10),(Datos!J10-Datos!T10)/Datos!T10," - ")</f>
        <v>-0.6</v>
      </c>
      <c r="F10" s="393">
        <f>IF(ISNUMBER((Datos!K10-Datos!U10)/Datos!U10),(Datos!K10-Datos!U10)/Datos!U10," - ")</f>
        <v>-0.16666666666666666</v>
      </c>
      <c r="G10" s="394">
        <f>IF(ISNUMBER((Datos!L10-Datos!V10)/Datos!V10),(Datos!L10-Datos!V10)/Datos!V10," - ")</f>
        <v>0</v>
      </c>
      <c r="H10" s="244">
        <f>IF(ISNUMBER((Datos!M10-Datos!W10)/Datos!W10),(Datos!M10-Datos!W10)/Datos!W10," - ")</f>
        <v>-0.83333333333333337</v>
      </c>
      <c r="I10" s="395">
        <f>IF(ISNUMBER((Tasas!C10-Datos!BE10)/Datos!BE10),(Tasas!C10-Datos!BE10)/Datos!BE10," - ")</f>
        <v>0.20000000000000018</v>
      </c>
      <c r="J10" s="394">
        <f>IF(ISNUMBER((Tasas!D10-Datos!BF10)/Datos!BF10),(Tasas!D10-Datos!BF10)/Datos!BF10," - ")</f>
        <v>-0.8</v>
      </c>
      <c r="K10" s="396">
        <f>IF(ISNUMBER((Tasas!E10-Datos!BG10)/Datos!BG10),(Tasas!E10-Datos!BG10)/Datos!BG10," - ")</f>
        <v>0.17818181818181833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0.10674157303370786</v>
      </c>
      <c r="I12" s="395">
        <f>IF(ISNUMBER((Tasas!C12-Datos!BE12)/Datos!BE12),(Tasas!C12-Datos!BE12)/Datos!BE12," - ")</f>
        <v>-0.21661911029218212</v>
      </c>
      <c r="J12" s="394">
        <f>IF(ISNUMBER((Tasas!D12-Datos!BF12)/Datos!BF12),(Tasas!D12-Datos!BF12)/Datos!BF12," - ")</f>
        <v>-0.50950778407069952</v>
      </c>
      <c r="K12" s="396">
        <f>IF(ISNUMBER((Tasas!E12-Datos!BG12)/Datos!BG12),(Tasas!E12-Datos!BG12)/Datos!BG12," - ")</f>
        <v>-0.20892876524004195</v>
      </c>
      <c r="M12" t="e">
        <f>IF(Monitorios="SI",Datos!CE12,0)</f>
        <v>#REF!</v>
      </c>
      <c r="N12" t="e">
        <f>IF(Monitorios="SI",Datos!CF12,0)</f>
        <v>#REF!</v>
      </c>
      <c r="O12" t="e">
        <f>IF(Monitorios="SI",Datos!CG12,0)</f>
        <v>#REF!</v>
      </c>
      <c r="P12" t="e">
        <f>IF(Monitorios="SI",Datos!CH12,0)</f>
        <v>#REF!</v>
      </c>
      <c r="Q12">
        <f>IF(J_V="SI",0,Datos!AG12)</f>
        <v>109</v>
      </c>
      <c r="R12">
        <f>IF(J_V="SI",0,Datos!AH12)</f>
        <v>126</v>
      </c>
      <c r="S12">
        <f>IF(J_V="SI",0,Datos!AI12)</f>
        <v>86</v>
      </c>
      <c r="T12">
        <f>IF(J_V="SI",0,Datos!AJ12)</f>
        <v>149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7.6086956521739135E-2</v>
      </c>
      <c r="I14" s="402">
        <f>IF(ISNUMBER((Tasas!C14-Datos!BE14)/Datos!BE14),(Tasas!C14-Datos!BE14)/Datos!BE14," - ")</f>
        <v>-0.21471659323829162</v>
      </c>
      <c r="J14" s="400">
        <f>IF(ISNUMBER((Tasas!D14-Datos!BF14)/Datos!BF14),(Tasas!D14-Datos!BF14)/Datos!BF14," - ")</f>
        <v>-0.51549263614567875</v>
      </c>
      <c r="K14" s="403">
        <f>IF(ISNUMBER((Tasas!E14-Datos!BG14)/Datos!BG14),(Tasas!E14-Datos!BG14)/Datos!BG14," - ")</f>
        <v>-0.20715013108992736</v>
      </c>
      <c r="M14" t="e">
        <f>IF(Monitorios="SI",Datos!CE14,0)</f>
        <v>#REF!</v>
      </c>
      <c r="N14" t="e">
        <f>IF(Monitorios="SI",Datos!CF14,0)</f>
        <v>#REF!</v>
      </c>
      <c r="O14" t="e">
        <f>IF(Monitorios="SI",Datos!CG14,0)</f>
        <v>#REF!</v>
      </c>
      <c r="P14" t="e">
        <f>IF(Monitorios="SI",Datos!CH14,0)</f>
        <v>#REF!</v>
      </c>
      <c r="Q14">
        <f>IF(J_V="SI",0,Datos!AG14)</f>
        <v>109</v>
      </c>
      <c r="R14">
        <f>IF(J_V="SI",0,Datos!AH14)</f>
        <v>126</v>
      </c>
      <c r="S14">
        <f>IF(J_V="SI",0,Datos!AI14)</f>
        <v>86</v>
      </c>
      <c r="T14">
        <f>IF(J_V="SI",0,Datos!AJ14)</f>
        <v>149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-0.14996342355523043</v>
      </c>
      <c r="E17" s="393">
        <f>IF(ISNUMBER(
   IF(D_I="SI",(Datos!J17-Datos!T17)/Datos!T17,(Datos!J17+Datos!AD17-(Datos!T17+Datos!AL17))/(Datos!T17+Datos!AL17))
     ),IF(D_I="SI",(Datos!J17-Datos!T17)/Datos!T17,(Datos!J17+Datos!AD17-(Datos!T17+Datos!AL17))/(Datos!T17+Datos!AL17))," - ")</f>
        <v>0.37057728119180633</v>
      </c>
      <c r="F17" s="393">
        <f>IF(ISNUMBER(
   IF(D_I="SI",(Datos!K17-Datos!U17)/Datos!U17,(Datos!K17+Datos!AE17-(Datos!U17+Datos!AM17))/(Datos!U17+Datos!AM17))
     ),IF(D_I="SI",(Datos!K17-Datos!U17)/Datos!U17,(Datos!K17+Datos!AE17-(Datos!U17+Datos!AM17))/(Datos!U17+Datos!AM17))," - ")</f>
        <v>0.44343065693430656</v>
      </c>
      <c r="G17" s="394">
        <f>IF(ISNUMBER(
   IF(D_I="SI",(Datos!L17-Datos!V17)/Datos!V17,(Datos!L17+Datos!AF17-(Datos!V17+Datos!AN17))/(Datos!V17+Datos!AN17))
     ),IF(D_I="SI",(Datos!L17-Datos!V17)/Datos!V17,(Datos!L17+Datos!AF17-(Datos!V17+Datos!AN17))/(Datos!V17+Datos!AN17))," - ")</f>
        <v>-0.18335787923416788</v>
      </c>
      <c r="H17" s="244">
        <f>IF(ISNUMBER((Datos!M17-Datos!W17)/Datos!W17),(Datos!M17-Datos!W17)/Datos!W17," - ")</f>
        <v>-0.248</v>
      </c>
      <c r="I17" s="395">
        <f>IF(ISNUMBER((Tasas!C17-Datos!BE17)/Datos!BE17),(Tasas!C17-Datos!BE17)/Datos!BE17," - ")</f>
        <v>-0.43423529433669278</v>
      </c>
      <c r="J17" s="394">
        <f>IF(ISNUMBER((Tasas!D17-Datos!BF17)/Datos!BF17),(Tasas!D17-Datos!BF17)/Datos!BF17," - ")</f>
        <v>-0.47901896333754745</v>
      </c>
      <c r="K17" s="396">
        <f>IF(ISNUMBER((Tasas!E17-Datos!BG17)/Datos!BG17),(Tasas!E17-Datos!BG17)/Datos!BG17," - ")</f>
        <v>-0.30938924242263277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1.0918367346938775</v>
      </c>
      <c r="E18" s="393">
        <f>IF(ISNUMBER(
   IF(D_I="SI",(Datos!J18-Datos!T18)/Datos!T18,(Datos!J18+Datos!AD18-(Datos!T18+Datos!AL18))/(Datos!T18+Datos!AL18))
     ),IF(D_I="SI",(Datos!J18-Datos!T18)/Datos!T18,(Datos!J18+Datos!AD18-(Datos!T18+Datos!AL18))/(Datos!T18+Datos!AL18))," - ")</f>
        <v>5.7692307692307696E-2</v>
      </c>
      <c r="F18" s="393">
        <f>IF(ISNUMBER(
   IF(D_I="SI",(Datos!K18-Datos!U18)/Datos!U18,(Datos!K18+Datos!AE18-(Datos!U18+Datos!AM18))/(Datos!U18+Datos!AM18))
     ),IF(D_I="SI",(Datos!K18-Datos!U18)/Datos!U18,(Datos!K18+Datos!AE18-(Datos!U18+Datos!AM18))/(Datos!U18+Datos!AM18))," - ")</f>
        <v>-0.21</v>
      </c>
      <c r="G18" s="394">
        <f>IF(ISNUMBER(
   IF(D_I="SI",(Datos!L18-Datos!V18)/Datos!V18,(Datos!L18+Datos!AF18-(Datos!V18+Datos!AN18))/(Datos!V18+Datos!AN18))
     ),IF(D_I="SI",(Datos!L18-Datos!V18)/Datos!V18,(Datos!L18+Datos!AF18-(Datos!V18+Datos!AN18))/(Datos!V18+Datos!AN18))," - ")</f>
        <v>1.3106796116504855</v>
      </c>
      <c r="H18" s="244">
        <f>IF(ISNUMBER((Datos!M18-Datos!W18)/Datos!W18),(Datos!M18-Datos!W18)/Datos!W18," - ")</f>
        <v>-0.23076923076923078</v>
      </c>
      <c r="I18" s="395">
        <f>IF(ISNUMBER((Tasas!C18-Datos!BE18)/Datos!BE18),(Tasas!C18-Datos!BE18)/Datos!BE18," - ")</f>
        <v>1.9249109008233993</v>
      </c>
      <c r="J18" s="394">
        <f>IF(ISNUMBER((Tasas!D18-Datos!BF18)/Datos!BF18),(Tasas!D18-Datos!BF18)/Datos!BF18," - ")</f>
        <v>-2.6290165530671827E-2</v>
      </c>
      <c r="K18" s="396">
        <f>IF(ISNUMBER((Tasas!E18-Datos!BG18)/Datos!BG18),(Tasas!E18-Datos!BG18)/Datos!BG18," - ")</f>
        <v>0.973931570372227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-6.6894197952218432E-2</v>
      </c>
      <c r="E23" s="399">
        <f>IF(ISNUMBER(
   IF(D_I="SI",(Datos!J23-Datos!T23)/Datos!T23,(Datos!J23+Datos!AD23-(Datos!T23+Datos!AL23))/(Datos!T23+Datos!AL23))
     ),IF(D_I="SI",(Datos!J23-Datos!T23)/Datos!T23,(Datos!J23+Datos!AD23-(Datos!T23+Datos!AL23))/(Datos!T23+Datos!AL23))," - ")</f>
        <v>0.31981279251170047</v>
      </c>
      <c r="F23" s="399">
        <f>IF(ISNUMBER(
   IF(D_I="SI",(Datos!K23-Datos!U23)/Datos!U23,(Datos!K23+Datos!AE23-(Datos!U23+Datos!AM23))/(Datos!U23+Datos!AM23))
     ),IF(D_I="SI",(Datos!K23-Datos!U23)/Datos!U23,(Datos!K23+Datos!AE23-(Datos!U23+Datos!AM23))/(Datos!U23+Datos!AM23))," - ")</f>
        <v>0.34259259259259262</v>
      </c>
      <c r="G23" s="400">
        <f>IF(ISNUMBER(
   IF(D_I="SI",(Datos!L23-Datos!V23)/Datos!V23,(Datos!L23+Datos!AF23-(Datos!V23+Datos!AN23))/(Datos!V23+Datos!AN23))
     ),IF(D_I="SI",(Datos!L23-Datos!V23)/Datos!V23,(Datos!L23+Datos!AF23-(Datos!V23+Datos!AN23))/(Datos!V23+Datos!AN23))," - ")</f>
        <v>-7.8028747433264892E-2</v>
      </c>
      <c r="H23" s="401">
        <f>IF(ISNUMBER((Datos!M23-Datos!W23)/Datos!W23),(Datos!M23-Datos!W23)/Datos!W23," - ")</f>
        <v>-0.24637681159420291</v>
      </c>
      <c r="I23" s="402">
        <f>IF(ISNUMBER((Tasas!C23-Datos!BE23)/Datos!BE23),(Tasas!C23-Datos!BE23)/Datos!BE23," - ")</f>
        <v>-0.31329037739856969</v>
      </c>
      <c r="J23" s="400">
        <f>IF(ISNUMBER((Tasas!D23-Datos!BF23)/Datos!BF23),(Tasas!D23-Datos!BF23)/Datos!BF23," - ")</f>
        <v>-0.43868065967016495</v>
      </c>
      <c r="K23" s="403">
        <f>IF(ISNUMBER((Tasas!E23-Datos!BG23)/Datos!BG23),(Tasas!E23-Datos!BG23)/Datos!BG23," - ")</f>
        <v>-0.21732979664014146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8.334995014955135E-2</v>
      </c>
      <c r="E31" s="409">
        <f>IF(ISNUMBER(
   IF(J_V="SI",(Datos!J31-Datos!T31)/Datos!T31,(Datos!J31+Datos!Z31-(Datos!T31+Datos!AH31))/(Datos!T31+Datos!AH31))
     ),IF(J_V="SI",(Datos!J31-Datos!T31)/Datos!T31,(Datos!J31+Datos!Z31-(Datos!T31+Datos!AH31))/(Datos!T31+Datos!AH31))," - ")</f>
        <v>0.19213696892834495</v>
      </c>
      <c r="F31" s="409">
        <f>IF(ISNUMBER(
   IF(J_V="SI",(Datos!K31-Datos!U31)/Datos!U31,(Datos!K31+Datos!AA31-(Datos!U31+Datos!AI31))/(Datos!U31+Datos!AI31))
     ),IF(J_V="SI",(Datos!K31-Datos!U31)/Datos!U31,(Datos!K31+Datos!AA31-(Datos!U31+Datos!AI31))/(Datos!U31+Datos!AI31))," - ")</f>
        <v>0.38807126258714175</v>
      </c>
      <c r="G31" s="410">
        <f>IF(ISNUMBER(
   IF(J_V="SI",(Datos!L31-Datos!V31)/Datos!V31,(Datos!L31+Datos!AB31-(Datos!V31+Datos!AJ31))/(Datos!V31+Datos!AJ31))
     ),IF(J_V="SI",(Datos!L31-Datos!V31)/Datos!V31,(Datos!L31+Datos!AB31-(Datos!V31+Datos!AJ31))/(Datos!V31+Datos!AJ31))," - ")</f>
        <v>6.7964946445959101E-2</v>
      </c>
      <c r="H31" s="411">
        <f>IF(ISNUMBER((Datos!M31-Datos!W31)/Datos!W31),(Datos!M31-Datos!W31)/Datos!W31," - ")</f>
        <v>-6.2111801242236024E-2</v>
      </c>
      <c r="I31" s="408">
        <f>IF(ISNUMBER((Tasas!C31-Datos!BE31)/Datos!BE31),(Tasas!C31-Datos!BE31)/Datos!BE31," - ")</f>
        <v>-0.23061230699680063</v>
      </c>
      <c r="J31" s="409">
        <f>IF(ISNUMBER((Tasas!D31-Datos!BF31)/Datos!BF31),(Tasas!D31-Datos!BF31)/Datos!BF31," - ")</f>
        <v>-0.48565465636609251</v>
      </c>
      <c r="K31" s="410">
        <f>IF(ISNUMBER((Tasas!E31-Datos!BG31)/Datos!BG31),(Tasas!E31-Datos!BG31)/Datos!BG31," - ")</f>
        <v>-0.20077950613839279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0.58062455538819258</v>
      </c>
      <c r="E33" s="303">
        <f t="shared" si="1"/>
        <v>0.44626376656134026</v>
      </c>
      <c r="F33" s="303">
        <f t="shared" si="1"/>
        <v>0.33861728977491734</v>
      </c>
      <c r="G33" s="304">
        <f t="shared" si="1"/>
        <v>0.70293093534994888</v>
      </c>
      <c r="H33" s="310">
        <f t="shared" si="1"/>
        <v>0.33813750523236025</v>
      </c>
      <c r="I33" s="302">
        <f t="shared" si="1"/>
        <v>0.89172326399482815</v>
      </c>
      <c r="J33" s="303">
        <f t="shared" si="1"/>
        <v>0.24901302715387882</v>
      </c>
      <c r="K33" s="304">
        <f t="shared" si="1"/>
        <v>0.49040914629849003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VlUM4DxtqdfQDkoxV5BHtgmMawVgMUuVOzcpQb5RhPWtQU6rnjc1+3mB1YIBUZ+w8zUFcLRojoo/EZknFQrew==" saltValue="HQT8D43O4zr9/j1lldN/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